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gjcoi\Documents\Liquidación Salarios 2021\"/>
    </mc:Choice>
  </mc:AlternateContent>
  <xr:revisionPtr revIDLastSave="0" documentId="8_{2E303DED-8546-4778-83C7-1A140D7911E1}" xr6:coauthVersionLast="47" xr6:coauthVersionMax="47" xr10:uidLastSave="{00000000-0000-0000-0000-000000000000}"/>
  <bookViews>
    <workbookView xWindow="72" yWindow="72" windowWidth="23040" windowHeight="12144" xr2:uid="{00000000-000D-0000-FFFF-FFFF00000000}"/>
  </bookViews>
  <sheets>
    <sheet name="Planillas" sheetId="1" r:id="rId1"/>
    <sheet name="Recibo" sheetId="2" r:id="rId2"/>
    <sheet name="Ejercicios 4feb" sheetId="6" r:id="rId3"/>
    <sheet name="liquidacion agosto" sheetId="3" r:id="rId4"/>
    <sheet name="liquidacion agosto (2)" sheetId="4" r:id="rId5"/>
    <sheet name="PRUEBA FINAL " sheetId="5" r:id="rId6"/>
  </sheets>
  <calcPr calcId="191029"/>
</workbook>
</file>

<file path=xl/calcChain.xml><?xml version="1.0" encoding="utf-8"?>
<calcChain xmlns="http://schemas.openxmlformats.org/spreadsheetml/2006/main">
  <c r="D52" i="2" l="1"/>
  <c r="B57" i="2"/>
  <c r="B56" i="2"/>
  <c r="B47" i="2"/>
  <c r="D47" i="2"/>
  <c r="H54" i="2"/>
  <c r="H53" i="2"/>
  <c r="H63" i="2" s="1"/>
  <c r="H52" i="2"/>
  <c r="D15" i="2"/>
  <c r="D14" i="2"/>
  <c r="D13" i="2"/>
  <c r="D8" i="2"/>
  <c r="J31" i="2"/>
  <c r="J30" i="2"/>
  <c r="F39" i="1"/>
  <c r="F38" i="1"/>
  <c r="F34" i="1"/>
  <c r="F33" i="1"/>
  <c r="E39" i="1"/>
  <c r="D38" i="1"/>
  <c r="E34" i="1"/>
  <c r="D33" i="1"/>
  <c r="C19" i="6"/>
  <c r="C20" i="6"/>
  <c r="C18" i="6"/>
  <c r="E8" i="6"/>
  <c r="C8" i="6"/>
  <c r="D7" i="6"/>
  <c r="J109" i="5"/>
  <c r="I109" i="5"/>
  <c r="J110" i="5" s="1"/>
  <c r="H108" i="5"/>
  <c r="P91" i="5"/>
  <c r="R85" i="5"/>
  <c r="K89" i="5" s="1"/>
  <c r="R84" i="5"/>
  <c r="Q84" i="5"/>
  <c r="Q85" i="5" s="1"/>
  <c r="N91" i="5" s="1"/>
  <c r="N81" i="5"/>
  <c r="P94" i="5" s="1"/>
  <c r="Q94" i="5" s="1"/>
  <c r="F76" i="5"/>
  <c r="E76" i="5"/>
  <c r="D76" i="5"/>
  <c r="C76" i="5"/>
  <c r="L75" i="5"/>
  <c r="H75" i="5"/>
  <c r="F75" i="5"/>
  <c r="E75" i="5"/>
  <c r="D75" i="5"/>
  <c r="C75" i="5"/>
  <c r="Q73" i="5"/>
  <c r="O73" i="5"/>
  <c r="N73" i="5"/>
  <c r="O72" i="5"/>
  <c r="N72" i="5"/>
  <c r="O71" i="5"/>
  <c r="L71" i="5"/>
  <c r="N71" i="5" s="1"/>
  <c r="K71" i="5"/>
  <c r="K76" i="5" s="1"/>
  <c r="H71" i="5"/>
  <c r="H76" i="5" s="1"/>
  <c r="G71" i="5"/>
  <c r="G76" i="5" s="1"/>
  <c r="M67" i="5"/>
  <c r="J71" i="5" s="1"/>
  <c r="N65" i="5"/>
  <c r="B71" i="5" s="1"/>
  <c r="P59" i="5"/>
  <c r="N59" i="5"/>
  <c r="Q59" i="5" s="1"/>
  <c r="N58" i="5"/>
  <c r="Q58" i="5" s="1"/>
  <c r="P57" i="5"/>
  <c r="Q57" i="5" s="1"/>
  <c r="N57" i="5"/>
  <c r="N56" i="5"/>
  <c r="Q56" i="5" s="1"/>
  <c r="Q55" i="5"/>
  <c r="P55" i="5"/>
  <c r="N55" i="5"/>
  <c r="N54" i="5"/>
  <c r="Q54" i="5" s="1"/>
  <c r="N62" i="5" s="1"/>
  <c r="P53" i="5"/>
  <c r="N53" i="5"/>
  <c r="Q53" i="5" s="1"/>
  <c r="Q52" i="5"/>
  <c r="N52" i="5"/>
  <c r="N48" i="5"/>
  <c r="M48" i="5"/>
  <c r="P48" i="5" s="1"/>
  <c r="O45" i="5"/>
  <c r="O42" i="5"/>
  <c r="O36" i="5"/>
  <c r="N38" i="5" s="1"/>
  <c r="O35" i="5"/>
  <c r="O32" i="5"/>
  <c r="O31" i="5"/>
  <c r="O33" i="5" s="1"/>
  <c r="Q23" i="5"/>
  <c r="R23" i="5" s="1"/>
  <c r="Q22" i="5"/>
  <c r="N18" i="5"/>
  <c r="O20" i="5" s="1"/>
  <c r="O22" i="5" s="1"/>
  <c r="O24" i="5" s="1"/>
  <c r="Q6" i="5"/>
  <c r="O6" i="5"/>
  <c r="O5" i="5"/>
  <c r="O4" i="5"/>
  <c r="O3" i="5"/>
  <c r="O10" i="5" s="1"/>
  <c r="Q5" i="5" s="1"/>
  <c r="Q7" i="5" s="1"/>
  <c r="R7" i="5" s="1"/>
  <c r="C12" i="4"/>
  <c r="C13" i="4" s="1"/>
  <c r="C7" i="4"/>
  <c r="A7" i="4"/>
  <c r="C6" i="4"/>
  <c r="B6" i="4"/>
  <c r="A18" i="3"/>
  <c r="C12" i="3" s="1"/>
  <c r="A17" i="3"/>
  <c r="C19" i="3" s="1"/>
  <c r="C7" i="3"/>
  <c r="A7" i="3"/>
  <c r="C6" i="3"/>
  <c r="B6" i="3"/>
  <c r="B8" i="2"/>
  <c r="D63" i="2" l="1"/>
  <c r="H65" i="2" s="1"/>
  <c r="E19" i="6"/>
  <c r="C23" i="3"/>
  <c r="G12" i="3" s="1"/>
  <c r="E20" i="6"/>
  <c r="O27" i="5"/>
  <c r="O25" i="5"/>
  <c r="Q26" i="5" s="1"/>
  <c r="R26" i="5" s="1"/>
  <c r="Q21" i="5"/>
  <c r="Q24" i="5" s="1"/>
  <c r="R24" i="5" s="1"/>
  <c r="R25" i="5" s="1"/>
  <c r="R27" i="5" s="1"/>
  <c r="N61" i="5"/>
  <c r="B76" i="5"/>
  <c r="B77" i="5" s="1"/>
  <c r="B75" i="5"/>
  <c r="J76" i="5"/>
  <c r="J75" i="5"/>
  <c r="Q71" i="5"/>
  <c r="Q75" i="5" s="1"/>
  <c r="Q76" i="5" s="1"/>
  <c r="Q77" i="5" s="1"/>
  <c r="N75" i="5"/>
  <c r="I89" i="5"/>
  <c r="L89" i="5"/>
  <c r="K90" i="5"/>
  <c r="I90" i="5" s="1"/>
  <c r="O12" i="5"/>
  <c r="P36" i="5"/>
  <c r="P40" i="5"/>
  <c r="L76" i="5"/>
  <c r="C23" i="4"/>
  <c r="O37" i="5"/>
  <c r="P37" i="5" s="1"/>
  <c r="I71" i="5"/>
  <c r="N85" i="5"/>
  <c r="I88" i="5" s="1"/>
  <c r="I87" i="5"/>
  <c r="G75" i="5"/>
  <c r="K75" i="5"/>
  <c r="Q81" i="5"/>
  <c r="N89" i="5"/>
  <c r="H109" i="5"/>
  <c r="I110" i="5"/>
  <c r="H110" i="5" s="1"/>
  <c r="H14" i="2"/>
  <c r="E24" i="6" l="1"/>
  <c r="I15" i="6" s="1"/>
  <c r="G13" i="3"/>
  <c r="G14" i="3"/>
  <c r="I14" i="6"/>
  <c r="I13" i="6"/>
  <c r="D24" i="2"/>
  <c r="H13" i="2"/>
  <c r="H15" i="2"/>
  <c r="R81" i="5"/>
  <c r="N83" i="5"/>
  <c r="Q82" i="5"/>
  <c r="C109" i="5"/>
  <c r="C113" i="5" s="1"/>
  <c r="B109" i="5"/>
  <c r="B113" i="5" s="1"/>
  <c r="I76" i="5"/>
  <c r="B78" i="5" s="1"/>
  <c r="I75" i="5"/>
  <c r="G23" i="3"/>
  <c r="G25" i="3" s="1"/>
  <c r="E109" i="5"/>
  <c r="E113" i="5" s="1"/>
  <c r="D109" i="5"/>
  <c r="D113" i="5" s="1"/>
  <c r="N92" i="5"/>
  <c r="N90" i="5"/>
  <c r="I95" i="5"/>
  <c r="G13" i="4"/>
  <c r="G12" i="4"/>
  <c r="G14" i="4"/>
  <c r="O15" i="5"/>
  <c r="O13" i="5"/>
  <c r="Q9" i="5" s="1"/>
  <c r="R9" i="5" s="1"/>
  <c r="R10" i="5" s="1"/>
  <c r="H24" i="2" l="1"/>
  <c r="H26" i="2" s="1"/>
  <c r="G23" i="4"/>
  <c r="G25" i="4" s="1"/>
  <c r="I24" i="6"/>
  <c r="I26" i="6" s="1"/>
  <c r="N93" i="5"/>
  <c r="N94" i="5" s="1"/>
  <c r="N95" i="5" s="1"/>
  <c r="N86" i="5" s="1"/>
  <c r="I93" i="5" s="1"/>
  <c r="N84" i="5"/>
  <c r="I92" i="5" s="1"/>
  <c r="I91" i="5"/>
  <c r="P90" i="5"/>
  <c r="P92" i="5" s="1"/>
  <c r="Q92" i="5" s="1"/>
  <c r="Q95" i="5" s="1"/>
  <c r="I96" i="5" s="1"/>
  <c r="I94" i="5" l="1"/>
  <c r="I97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H17" authorId="0" shapeId="0" xr:uid="{00000000-0006-0000-0000-000001000000}">
      <text>
        <r>
          <rPr>
            <sz val="11"/>
            <color rgb="FF000000"/>
            <rFont val="Calibri"/>
          </rPr>
          <t>Se consideran Inasistencias Especiales a faltas por Pap, Donación de Sangre, Declaración en Juicios, y faltas previstas en el convenio como Inasistencias Especiales Pagas</t>
        </r>
      </text>
    </comment>
    <comment ref="G20" authorId="0" shapeId="0" xr:uid="{00000000-0006-0000-0000-000002000000}">
      <text>
        <r>
          <rPr>
            <sz val="11"/>
            <color rgb="FF000000"/>
            <rFont val="Calibri"/>
          </rPr>
          <t>No hay fecha prevista de reintegro. Certificación por consumo excesivo de sustancias tóxicas</t>
        </r>
      </text>
    </comment>
    <comment ref="H32" authorId="0" shapeId="0" xr:uid="{19D8D672-A166-4091-B0B7-E866C952680D}">
      <text>
        <r>
          <rPr>
            <sz val="11"/>
            <color rgb="FF000000"/>
            <rFont val="Calibri"/>
          </rPr>
          <t>Se consideran Inasistencias Especiales a faltas por Pap, Donación de Sangre, Declaración en Juicios, y faltas previstas en el convenio como Inasistencias Especiales Pagas</t>
        </r>
      </text>
    </comment>
    <comment ref="H37" authorId="0" shapeId="0" xr:uid="{A96AD4F6-F40B-4116-9F1A-716FB1F124AE}">
      <text>
        <r>
          <rPr>
            <sz val="11"/>
            <color rgb="FF000000"/>
            <rFont val="Calibri"/>
          </rPr>
          <t>Se consideran Inasistencias Especiales a faltas por Pap, Donación de Sangre, Declaración en Juicios, y faltas previstas en el convenio como Inasistencias Especiales Pagas</t>
        </r>
      </text>
    </comment>
  </commentList>
</comments>
</file>

<file path=xl/sharedStrings.xml><?xml version="1.0" encoding="utf-8"?>
<sst xmlns="http://schemas.openxmlformats.org/spreadsheetml/2006/main" count="503" uniqueCount="270">
  <si>
    <t>Planilla de Personal</t>
  </si>
  <si>
    <t>REalice la liquidación de Sueldo del personal correspondiente al mes de octubre</t>
  </si>
  <si>
    <t>CArgue los empleados en Gente y realice las liquidaciones correspondientes</t>
  </si>
  <si>
    <t>Apellido</t>
  </si>
  <si>
    <t>Nombre</t>
  </si>
  <si>
    <t>C.I.</t>
  </si>
  <si>
    <t>Ingreso a la empresa</t>
  </si>
  <si>
    <t>Puesto</t>
  </si>
  <si>
    <t>Tipo de contrato (Mensual M; Jornalero J)</t>
  </si>
  <si>
    <t>Estado Civil</t>
  </si>
  <si>
    <t>Hijos menores a cargo</t>
  </si>
  <si>
    <t>Aporte Fonasa (Principal P; Secundario S)</t>
  </si>
  <si>
    <t>Salario x hora</t>
  </si>
  <si>
    <t>Salario mensual</t>
  </si>
  <si>
    <t>Comisiones</t>
  </si>
  <si>
    <t>Martin</t>
  </si>
  <si>
    <t>Perdomo</t>
  </si>
  <si>
    <t>3887870-3</t>
  </si>
  <si>
    <t>Operario General</t>
  </si>
  <si>
    <t>J</t>
  </si>
  <si>
    <t>Soltero</t>
  </si>
  <si>
    <t>Terrence</t>
  </si>
  <si>
    <t>Shelman</t>
  </si>
  <si>
    <t>5325667-0</t>
  </si>
  <si>
    <t>Operario Calificado</t>
  </si>
  <si>
    <t>Concubinato</t>
  </si>
  <si>
    <t>S</t>
  </si>
  <si>
    <t>Matias</t>
  </si>
  <si>
    <t>Lado</t>
  </si>
  <si>
    <t>1268976-2</t>
  </si>
  <si>
    <t>Capataz</t>
  </si>
  <si>
    <t>P</t>
  </si>
  <si>
    <t>María</t>
  </si>
  <si>
    <t>Comodha</t>
  </si>
  <si>
    <t>2375658-6</t>
  </si>
  <si>
    <t>Administrativa</t>
  </si>
  <si>
    <t>M</t>
  </si>
  <si>
    <t>Divorciada</t>
  </si>
  <si>
    <t xml:space="preserve"> </t>
  </si>
  <si>
    <t>Felicia</t>
  </si>
  <si>
    <t>Weimaraner</t>
  </si>
  <si>
    <t>2578455-2</t>
  </si>
  <si>
    <t>Contadora</t>
  </si>
  <si>
    <t>Casada</t>
  </si>
  <si>
    <t>Arturo</t>
  </si>
  <si>
    <t>Perez</t>
  </si>
  <si>
    <t>1346787-3</t>
  </si>
  <si>
    <t>Vendedor</t>
  </si>
  <si>
    <t>Ashley</t>
  </si>
  <si>
    <t>Rodriguez</t>
  </si>
  <si>
    <t>5998765-4</t>
  </si>
  <si>
    <t>Telefonista</t>
  </si>
  <si>
    <t>Soltera</t>
  </si>
  <si>
    <t>Horas Extras</t>
  </si>
  <si>
    <t xml:space="preserve">Inasistencia </t>
  </si>
  <si>
    <t>Disse/BSE Inicio</t>
  </si>
  <si>
    <t>Disse/BSE Reintegro</t>
  </si>
  <si>
    <t>Inasistencias Especiales</t>
  </si>
  <si>
    <t>El 30 de octubre se despide a Ashley Rodriguez. No tiene ningun complemento por fuera de su salario mensual, el cual se mantiene fijo desde su ingreso a la empresa</t>
  </si>
  <si>
    <t>Calcule IPD, Licencia no gozada y Salario Vacacional y Aguinaldo para Liquidación Final</t>
  </si>
  <si>
    <t>RECIBO DE SUELDO</t>
  </si>
  <si>
    <t>EMPRESA S.A.</t>
  </si>
  <si>
    <t>N° R.U.T.: 21 000000.0012</t>
  </si>
  <si>
    <t>Dirección</t>
  </si>
  <si>
    <t>N° B.P.S.: 1484306</t>
  </si>
  <si>
    <t>Grupo actividad: XX</t>
  </si>
  <si>
    <t>N°  M.T.S.S.: 123456</t>
  </si>
  <si>
    <t>Sub grupo actividad: XX</t>
  </si>
  <si>
    <t>N° B.S.E.: 987654</t>
  </si>
  <si>
    <t>NOMBRE: Empleado</t>
  </si>
  <si>
    <t>FUNCIONARIO JORNALERO</t>
  </si>
  <si>
    <t>Fecha de ingreso</t>
  </si>
  <si>
    <t>FECHA DE LIQUIDACION Agosto 2020</t>
  </si>
  <si>
    <t>LIQUIDACION MENSUAL</t>
  </si>
  <si>
    <t xml:space="preserve">               HABERES</t>
  </si>
  <si>
    <t xml:space="preserve">       DESCUENTOS  </t>
  </si>
  <si>
    <t>Cantidad</t>
  </si>
  <si>
    <t>Concepto</t>
  </si>
  <si>
    <t>$</t>
  </si>
  <si>
    <t>Sueldo</t>
  </si>
  <si>
    <t>B.P.S</t>
  </si>
  <si>
    <t>Faltas</t>
  </si>
  <si>
    <t>4.5%</t>
  </si>
  <si>
    <t>FONASA</t>
  </si>
  <si>
    <t>Licencia</t>
  </si>
  <si>
    <t>F.R.L.</t>
  </si>
  <si>
    <t>Aguinaldo</t>
  </si>
  <si>
    <t>I.R.P.F</t>
  </si>
  <si>
    <t>Ticket Alimentación</t>
  </si>
  <si>
    <t>Otros descuentos…</t>
  </si>
  <si>
    <t>Valor Hora</t>
  </si>
  <si>
    <t xml:space="preserve">  </t>
  </si>
  <si>
    <t>Horas Trabajadas</t>
  </si>
  <si>
    <t>Horas Extraordinarias</t>
  </si>
  <si>
    <t>Monto a retener IRPF</t>
  </si>
  <si>
    <t>Monto Imponible IRPF</t>
  </si>
  <si>
    <t>Monto computable IRPF</t>
  </si>
  <si>
    <t>TOTAL NOMINAL</t>
  </si>
  <si>
    <t>TOTAL DE DESCUENTOS</t>
  </si>
  <si>
    <t xml:space="preserve">  LÍQUIDO A COBRAR</t>
  </si>
  <si>
    <t>La empresa declara haber efectuado los aportes de seguridad social correspondientes a los haberes liquidados el mes anterior</t>
  </si>
  <si>
    <t>Recibí el importe mencionado y las copias correspondientes a la liquidación del mes de la fecha</t>
  </si>
  <si>
    <t>Fecha y año</t>
  </si>
  <si>
    <t xml:space="preserve">FIRMA </t>
  </si>
  <si>
    <t xml:space="preserve">Sueldo  </t>
  </si>
  <si>
    <t>0.100%</t>
  </si>
  <si>
    <t xml:space="preserve">valor hora </t>
  </si>
  <si>
    <t>Jornalero</t>
  </si>
  <si>
    <t>HORAS</t>
  </si>
  <si>
    <t>IRPF</t>
  </si>
  <si>
    <t>COMPENSACION</t>
  </si>
  <si>
    <t>Novedades del mes</t>
  </si>
  <si>
    <t>Valor hora comun $ 125,10</t>
  </si>
  <si>
    <t>HS EXTRAS</t>
  </si>
  <si>
    <t>HS EXT COMP NOCT</t>
  </si>
  <si>
    <t>Trabajo 208 hs comunes</t>
  </si>
  <si>
    <t>TICKETS</t>
  </si>
  <si>
    <t>Realizo 32 hs extras, de las cuales 16 hs fueron con nocturnidad al (25%)</t>
  </si>
  <si>
    <t>PRIMA POR ANTIG</t>
  </si>
  <si>
    <t>Tiene Compensaciones por trabajo de otro sector, que se calcula en $ 25 por cada hora trabajada, se le pagan 20 hs de compensacion.</t>
  </si>
  <si>
    <t>Cobro Tickets por $ 1050</t>
  </si>
  <si>
    <t xml:space="preserve">total nominal </t>
  </si>
  <si>
    <t>Tiene una prima por antigüedad de $ 3100.</t>
  </si>
  <si>
    <t>nominal BPS</t>
  </si>
  <si>
    <t>No tiene hijos menores a cargo.</t>
  </si>
  <si>
    <t>aportes</t>
  </si>
  <si>
    <t>irpf</t>
  </si>
  <si>
    <t>Calcular nominal y liquido del mes.</t>
  </si>
  <si>
    <t>LIQUIDO A COBRAR</t>
  </si>
  <si>
    <t>Mensual</t>
  </si>
  <si>
    <t xml:space="preserve">sueldo nominal </t>
  </si>
  <si>
    <t xml:space="preserve">jornal </t>
  </si>
  <si>
    <t>Sueldo nominal 45.000</t>
  </si>
  <si>
    <t>COMISIONES</t>
  </si>
  <si>
    <t>Comisiones $ 10.500</t>
  </si>
  <si>
    <t>FALTAS</t>
  </si>
  <si>
    <t>Falto por Disse 5 dias, la empresa lo descuenta</t>
  </si>
  <si>
    <t>Tiene 1 hijo a cargo.</t>
  </si>
  <si>
    <t>Calcular nominal y liquido del mes</t>
  </si>
  <si>
    <t>Trabajador Jornalero</t>
  </si>
  <si>
    <t>Realiza 150 hs comunes en el mes.</t>
  </si>
  <si>
    <t>valor hora 99,08</t>
  </si>
  <si>
    <t>Tiene 7 hs extras</t>
  </si>
  <si>
    <t>Todas sus horas comunes fueron con nocturnidad al 20%</t>
  </si>
  <si>
    <t>COMP NOCTURNIDAD</t>
  </si>
  <si>
    <t>Tickets por $ 547</t>
  </si>
  <si>
    <t>Tiene 1 dia por donar sangre.</t>
  </si>
  <si>
    <t>DONACION SANGRE</t>
  </si>
  <si>
    <t>LICENCIA</t>
  </si>
  <si>
    <t>Al finalizar el mes le pagamos la licencia (tomar en cuenta que el promedio de sus variables es $ 250 por dia trabajado).</t>
  </si>
  <si>
    <t>SAL VACACIONAL</t>
  </si>
  <si>
    <t>Dias a Gozar 20</t>
  </si>
  <si>
    <t>aportes licencia</t>
  </si>
  <si>
    <t>Calcular nominal del mes</t>
  </si>
  <si>
    <t xml:space="preserve">Nominal </t>
  </si>
  <si>
    <t>Funcionario mensual que ingresa a la empresa el 17/10/2016.</t>
  </si>
  <si>
    <t>SUELDO</t>
  </si>
  <si>
    <t>Sueldo nominal 50.000, tickets 5000, presentismo 3000 (por 30 dias de trabajo)</t>
  </si>
  <si>
    <t>INASITENCIAS EN DIAS</t>
  </si>
  <si>
    <t>Calcular sueldo de octubre.</t>
  </si>
  <si>
    <t>Calcular Aguinaldo de diciembre tomando en cuenta que en noviembre tiene las mismas partidas</t>
  </si>
  <si>
    <t>PRESENTISMO</t>
  </si>
  <si>
    <t xml:space="preserve">sueldo octubre </t>
  </si>
  <si>
    <t>sueldo noviembre</t>
  </si>
  <si>
    <t>aguinaldo</t>
  </si>
  <si>
    <t>Funcionario Jornalero, ingresa a la empresa el 01/04/2016, valor hora 120.10.</t>
  </si>
  <si>
    <t>valor hora</t>
  </si>
  <si>
    <t>Horas de abril, cantidad 200. Horas de mayo, cantidad 208, Horas de Junio 192, y de Julio a Noviembre realizo 200 hs cada mes.</t>
  </si>
  <si>
    <t>sueldo</t>
  </si>
  <si>
    <t>presentismo</t>
  </si>
  <si>
    <t>extras</t>
  </si>
  <si>
    <t xml:space="preserve">nominal </t>
  </si>
  <si>
    <t>En todos los meses cobra presentismo por $ 530.</t>
  </si>
  <si>
    <t>abril</t>
  </si>
  <si>
    <t>En los meses de Mayo, Julio, Setiembre y Noviembre, realizo 32 hs extras en cada mes.</t>
  </si>
  <si>
    <t xml:space="preserve">mayo </t>
  </si>
  <si>
    <t>Calcular Sueldo nominal de cada mes, aguinaldo de Junio y Diciembre</t>
  </si>
  <si>
    <t xml:space="preserve">junio </t>
  </si>
  <si>
    <t xml:space="preserve">julio </t>
  </si>
  <si>
    <t>agosto</t>
  </si>
  <si>
    <t>setiembre</t>
  </si>
  <si>
    <t>octubre</t>
  </si>
  <si>
    <t>noviembre</t>
  </si>
  <si>
    <t xml:space="preserve">aguinaldo junio </t>
  </si>
  <si>
    <t>aguinaldo Diciembre</t>
  </si>
  <si>
    <t>Trabajador Mensual que ingresa a la empresa el 02/02/2016, sueldo nominal 30000, presentismo 5000, tickets 2000.</t>
  </si>
  <si>
    <t>Cobra en el mes de marzo y julio premio por productividad de 10.000 en cada mes.</t>
  </si>
  <si>
    <t>En el mes de Julio aumenta por consejo de salarios un 6.07%.</t>
  </si>
  <si>
    <t>aumento julio 6,07%</t>
  </si>
  <si>
    <t>El 10 de enero de 2017, toma su licencia reglamentaria.</t>
  </si>
  <si>
    <t>Calcular sueldo de febrero, marzo, julio, aguinaldo de junio y diciembre. Calcular Salario Vacacional.</t>
  </si>
  <si>
    <t xml:space="preserve">febrero </t>
  </si>
  <si>
    <t xml:space="preserve">marzo </t>
  </si>
  <si>
    <t>mayo</t>
  </si>
  <si>
    <t>junio</t>
  </si>
  <si>
    <t>julio</t>
  </si>
  <si>
    <t>diciembre</t>
  </si>
  <si>
    <t xml:space="preserve">enero </t>
  </si>
  <si>
    <t xml:space="preserve">licencia </t>
  </si>
  <si>
    <t xml:space="preserve">sueldo </t>
  </si>
  <si>
    <t xml:space="preserve">presentismo </t>
  </si>
  <si>
    <t xml:space="preserve">variables </t>
  </si>
  <si>
    <t>ticket</t>
  </si>
  <si>
    <t>dias a gozar</t>
  </si>
  <si>
    <t>poductividad</t>
  </si>
  <si>
    <t>total nominal</t>
  </si>
  <si>
    <t>licenca</t>
  </si>
  <si>
    <t>aguinaldo junio</t>
  </si>
  <si>
    <t>aguinaldo diciembre</t>
  </si>
  <si>
    <t>Trabajador Jornalero que ingreso a la empresa en 02/01/2010, valor hora actual 95.40, trabaja todos los meses del año 200 hs.</t>
  </si>
  <si>
    <t>sueldo diciembre</t>
  </si>
  <si>
    <t>jornal  lic</t>
  </si>
  <si>
    <t>Presentismo todos los meses $ 530, salvo en junio que por acumulación de minutos tarde lo pierde.</t>
  </si>
  <si>
    <t>jornal SV</t>
  </si>
  <si>
    <t>El 31/12/2015 se lo despide, no gozo la licencia reglamentaria.</t>
  </si>
  <si>
    <t>LICENCIA NG</t>
  </si>
  <si>
    <t>Calcular liquidaciones del mes de diciembre.</t>
  </si>
  <si>
    <t>SAL VAC RET</t>
  </si>
  <si>
    <t xml:space="preserve">variable </t>
  </si>
  <si>
    <t>MENSUALIDADES</t>
  </si>
  <si>
    <t>AG POR EG</t>
  </si>
  <si>
    <t>IPD</t>
  </si>
  <si>
    <t>Aguinaldo Egreso</t>
  </si>
  <si>
    <t xml:space="preserve">IPD </t>
  </si>
  <si>
    <t>Licencia no gozada 2014</t>
  </si>
  <si>
    <t>JORNAL LIC</t>
  </si>
  <si>
    <t xml:space="preserve">Sueldo </t>
  </si>
  <si>
    <t>Salario Vacacional 2014</t>
  </si>
  <si>
    <t>JORNAL SV</t>
  </si>
  <si>
    <t>Incidencia AG</t>
  </si>
  <si>
    <t>Licencia no gozada 2015</t>
  </si>
  <si>
    <t>Incidencia Variables</t>
  </si>
  <si>
    <t>Salario Vacacional 2015</t>
  </si>
  <si>
    <t>Incidencia LNG</t>
  </si>
  <si>
    <t>Incidencia SV</t>
  </si>
  <si>
    <t>Total</t>
  </si>
  <si>
    <t>Aportes</t>
  </si>
  <si>
    <t>Mensualidades 6</t>
  </si>
  <si>
    <t>Liquido</t>
  </si>
  <si>
    <t>En enero de 2010, tiene aumento por consejo de salarios de 5,05%.</t>
  </si>
  <si>
    <t>En Julio de 2010, tiene aumento por consejo de salarios de 7,05 %, pero la empresa otorga el 11,50%</t>
  </si>
  <si>
    <t>Recibe una prima por matrimonio en enero del mismo año por valor de $ 5000 y una prima por nacimiento en noviembre por $ 9000.</t>
  </si>
  <si>
    <t>Se pide calcular nominal de enero, junio, julio y noviembre de 2010</t>
  </si>
  <si>
    <t>ENERO</t>
  </si>
  <si>
    <t>JUNIO</t>
  </si>
  <si>
    <t>JULIO</t>
  </si>
  <si>
    <t>NOVIEMBRE</t>
  </si>
  <si>
    <t>JORNALES</t>
  </si>
  <si>
    <t>AUMENTO ENERO</t>
  </si>
  <si>
    <t>AUMENTO JULIO</t>
  </si>
  <si>
    <t>PRIMA POR MAT</t>
  </si>
  <si>
    <t>PRIMA POR NAC</t>
  </si>
  <si>
    <t>Control de horas y asistencias del mes de OCTUBRE 2020</t>
  </si>
  <si>
    <t>FECHA DE LIQUIDACION Octubre 2020</t>
  </si>
  <si>
    <t>Horas Comunes</t>
  </si>
  <si>
    <t>Dias de Trabajo</t>
  </si>
  <si>
    <t>Febrero</t>
  </si>
  <si>
    <t>24 dias laborables</t>
  </si>
  <si>
    <t xml:space="preserve">Marzo </t>
  </si>
  <si>
    <t>27 dias laborables</t>
  </si>
  <si>
    <t>Jornal</t>
  </si>
  <si>
    <t>Liquidacion del mes</t>
  </si>
  <si>
    <t>Liquidación del mes</t>
  </si>
  <si>
    <t>FECHA DE LIQUIDACION Octubre 2021</t>
  </si>
  <si>
    <t>Arturo Perez</t>
  </si>
  <si>
    <t>FUNCIONARIO MENSUAL</t>
  </si>
  <si>
    <t>Comisiones por Ventas</t>
  </si>
  <si>
    <t>Sin reintegro</t>
  </si>
  <si>
    <t>Martin Perdomo</t>
  </si>
  <si>
    <t>Jornales Trabajados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</si>
</sst>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-&quot;$&quot;\ * #,##0.00_-;\-&quot;$&quot;\ * #,##0.00_-;_-&quot;$&quot;\ * &quot;-&quot;??_-;_-@_-"/>
    <numFmt numFmtId="164" formatCode="dd\ mmm\ yyyy"/>
    <numFmt numFmtId="165" formatCode="d\-m\-yyyy"/>
    <numFmt numFmtId="166" formatCode="_(* #,##0.00_);_(* \(#,##0.00\);_(* &quot;-&quot;??_);_(@_)"/>
    <numFmt numFmtId="167" formatCode="0.0"/>
    <numFmt numFmtId="168" formatCode="_-* #,##0.00_-;\-* #,##0.00_-;_-* &quot;-&quot;??_-;_-@"/>
    <numFmt numFmtId="169" formatCode="_(* #,##0.000_);_(* \(#,##0.000\);_(* &quot;-&quot;??_);_(@_)"/>
    <numFmt numFmtId="170" formatCode="_(* #,##0_);_(* \(#,##0\);_(* &quot;-&quot;??_);_(@_)"/>
    <numFmt numFmtId="171" formatCode="0.0%"/>
  </numFmts>
  <fonts count="35">
    <font>
      <sz val="11"/>
      <color rgb="FF000000"/>
      <name val="Calibri"/>
    </font>
    <font>
      <sz val="18"/>
      <color rgb="FF000000"/>
      <name val="Calibri"/>
    </font>
    <font>
      <b/>
      <sz val="11"/>
      <color rgb="FFFFFFFF"/>
      <name val="Calibri"/>
    </font>
    <font>
      <sz val="11"/>
      <color rgb="FF000000"/>
      <name val="Arial"/>
    </font>
    <font>
      <sz val="11"/>
      <color theme="1"/>
      <name val="Calibri"/>
    </font>
    <font>
      <sz val="11"/>
      <color theme="1"/>
      <name val="Arial"/>
    </font>
    <font>
      <sz val="16"/>
      <color rgb="FF000000"/>
      <name val="Arial"/>
    </font>
    <font>
      <b/>
      <sz val="14"/>
      <color rgb="FF000000"/>
      <name val="Calibri"/>
    </font>
    <font>
      <sz val="18"/>
      <color rgb="FF000000"/>
      <name val="Arial"/>
    </font>
    <font>
      <sz val="12"/>
      <color rgb="FF000000"/>
      <name val="Arial"/>
    </font>
    <font>
      <b/>
      <sz val="12"/>
      <color rgb="FF000000"/>
      <name val="Arial"/>
    </font>
    <font>
      <b/>
      <sz val="11"/>
      <color rgb="FF000000"/>
      <name val="Calibri"/>
    </font>
    <font>
      <sz val="10"/>
      <color rgb="FF000000"/>
      <name val="Arial"/>
    </font>
    <font>
      <sz val="11"/>
      <name val="Calibri"/>
    </font>
    <font>
      <sz val="14"/>
      <color rgb="FF000000"/>
      <name val="Arial"/>
    </font>
    <font>
      <sz val="11"/>
      <color theme="1"/>
      <name val="Calibri"/>
    </font>
    <font>
      <sz val="11"/>
      <color rgb="FFFF0000"/>
      <name val="Calibri"/>
    </font>
    <font>
      <sz val="9"/>
      <color theme="1"/>
      <name val="Calibri"/>
    </font>
    <font>
      <b/>
      <sz val="11"/>
      <color theme="1"/>
      <name val="Calibri"/>
    </font>
    <font>
      <b/>
      <sz val="9"/>
      <color theme="1"/>
      <name val="Calibri"/>
    </font>
    <font>
      <sz val="12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</font>
    <font>
      <sz val="11"/>
      <color rgb="FFFF0000"/>
      <name val="Arial"/>
      <family val="2"/>
    </font>
    <font>
      <sz val="11"/>
      <color rgb="FFFF0000"/>
      <name val="Calibri"/>
      <family val="2"/>
    </font>
    <font>
      <sz val="10"/>
      <color rgb="FF000000"/>
      <name val="Arial"/>
      <family val="2"/>
    </font>
    <font>
      <b/>
      <sz val="11"/>
      <color rgb="FFFFFFFF"/>
      <name val="Calibri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b/>
      <sz val="14"/>
      <color rgb="FF000000"/>
      <name val="Arial"/>
      <family val="2"/>
    </font>
    <font>
      <b/>
      <sz val="16"/>
      <color rgb="FF000000"/>
      <name val="Arial"/>
      <family val="2"/>
    </font>
    <font>
      <sz val="12"/>
      <color rgb="FF000000"/>
      <name val="Arial"/>
      <family val="2"/>
    </font>
    <font>
      <b/>
      <sz val="10"/>
      <color rgb="FF000000"/>
      <name val="Arial"/>
      <family val="2"/>
    </font>
    <font>
      <b/>
      <sz val="11"/>
      <color rgb="FF000000"/>
      <name val="Calibri"/>
      <family val="2"/>
    </font>
    <font>
      <b/>
      <sz val="11"/>
      <color rgb="FFFF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5B9BD5"/>
        <bgColor rgb="FF5B9BD5"/>
      </patternFill>
    </fill>
    <fill>
      <patternFill patternType="solid">
        <fgColor rgb="FF9CC2E5"/>
        <bgColor rgb="FF9CC2E5"/>
      </patternFill>
    </fill>
    <fill>
      <patternFill patternType="solid">
        <fgColor rgb="FFFFFF00"/>
        <bgColor rgb="FFFFFF00"/>
      </patternFill>
    </fill>
    <fill>
      <patternFill patternType="solid">
        <fgColor rgb="FFD8D8D8"/>
        <bgColor rgb="FFD8D8D8"/>
      </patternFill>
    </fill>
    <fill>
      <patternFill patternType="solid">
        <fgColor rgb="FFF7CAAC"/>
        <bgColor rgb="FFF7CAAC"/>
      </patternFill>
    </fill>
    <fill>
      <patternFill patternType="solid">
        <fgColor rgb="FFFFFF00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DEEBF6"/>
      </patternFill>
    </fill>
    <fill>
      <patternFill patternType="solid">
        <fgColor theme="9" tint="0.39997558519241921"/>
        <bgColor indexed="64"/>
      </patternFill>
    </fill>
  </fills>
  <borders count="85"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rgb="FF9CC2E5"/>
      </top>
      <bottom style="thin">
        <color rgb="FF9CC2E5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 style="medium">
        <color rgb="FF000000"/>
      </right>
      <top style="thin">
        <color rgb="FF000000"/>
      </top>
      <bottom style="double">
        <color rgb="FF000000"/>
      </bottom>
      <diagonal/>
    </border>
    <border>
      <left style="medium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medium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ck">
        <color rgb="FF000000"/>
      </left>
      <right style="medium">
        <color rgb="FFCCCCCC"/>
      </right>
      <top style="thick">
        <color rgb="FF000000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thick">
        <color rgb="FF000000"/>
      </top>
      <bottom style="medium">
        <color rgb="FFCCCCCC"/>
      </bottom>
      <diagonal/>
    </border>
    <border>
      <left style="medium">
        <color rgb="FFCCCCCC"/>
      </left>
      <right style="thick">
        <color rgb="FF000000"/>
      </right>
      <top style="thick">
        <color rgb="FF000000"/>
      </top>
      <bottom style="medium">
        <color rgb="FFCCCCCC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CCCCCC"/>
      </bottom>
      <diagonal/>
    </border>
    <border>
      <left style="thick">
        <color rgb="FF000000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thick">
        <color rgb="FF000000"/>
      </right>
      <top style="medium">
        <color rgb="FFCCCCCC"/>
      </top>
      <bottom style="medium">
        <color rgb="FFCCCCCC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CCCCCC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thick">
        <color rgb="FF000000"/>
      </left>
      <right style="medium">
        <color rgb="FFCCCCCC"/>
      </right>
      <top style="medium">
        <color rgb="FFCCCCCC"/>
      </top>
      <bottom style="thick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thick">
        <color rgb="FF000000"/>
      </bottom>
      <diagonal/>
    </border>
    <border>
      <left style="medium">
        <color rgb="FFCCCCCC"/>
      </left>
      <right style="thick">
        <color rgb="FF000000"/>
      </right>
      <top style="medium">
        <color rgb="FFCCCCCC"/>
      </top>
      <bottom style="thick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 style="double">
        <color rgb="FF000000"/>
      </bottom>
      <diagonal/>
    </border>
    <border>
      <left/>
      <right style="medium">
        <color indexed="64"/>
      </right>
      <top style="thin">
        <color rgb="FF000000"/>
      </top>
      <bottom style="double">
        <color rgb="FF000000"/>
      </bottom>
      <diagonal/>
    </border>
    <border>
      <left style="medium">
        <color indexed="64"/>
      </left>
      <right/>
      <top style="double">
        <color rgb="FF000000"/>
      </top>
      <bottom style="thin">
        <color rgb="FF000000"/>
      </bottom>
      <diagonal/>
    </border>
    <border>
      <left/>
      <right style="medium">
        <color indexed="64"/>
      </right>
      <top style="double">
        <color rgb="FF000000"/>
      </top>
      <bottom style="thin">
        <color rgb="FF000000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4" fontId="22" fillId="0" borderId="0" applyFont="0" applyFill="0" applyBorder="0" applyAlignment="0" applyProtection="0"/>
  </cellStyleXfs>
  <cellXfs count="264">
    <xf numFmtId="0" fontId="0" fillId="0" borderId="0" xfId="0" applyFont="1" applyAlignment="1"/>
    <xf numFmtId="0" fontId="1" fillId="0" borderId="0" xfId="0" applyFont="1"/>
    <xf numFmtId="0" fontId="0" fillId="0" borderId="0" xfId="0" applyFont="1"/>
    <xf numFmtId="0" fontId="2" fillId="2" borderId="1" xfId="0" applyFont="1" applyFill="1" applyBorder="1" applyAlignment="1">
      <alignment wrapText="1"/>
    </xf>
    <xf numFmtId="0" fontId="4" fillId="0" borderId="0" xfId="0" applyFont="1"/>
    <xf numFmtId="14" fontId="0" fillId="0" borderId="0" xfId="0" applyNumberFormat="1" applyFont="1"/>
    <xf numFmtId="165" fontId="0" fillId="0" borderId="0" xfId="0" applyNumberFormat="1" applyFont="1"/>
    <xf numFmtId="0" fontId="5" fillId="0" borderId="0" xfId="0" applyFont="1"/>
    <xf numFmtId="0" fontId="6" fillId="0" borderId="0" xfId="0" applyFont="1"/>
    <xf numFmtId="0" fontId="2" fillId="2" borderId="2" xfId="0" applyFont="1" applyFill="1" applyBorder="1" applyAlignment="1">
      <alignment wrapText="1"/>
    </xf>
    <xf numFmtId="0" fontId="7" fillId="0" borderId="0" xfId="0" applyFont="1"/>
    <xf numFmtId="0" fontId="8" fillId="0" borderId="3" xfId="0" applyFont="1" applyBorder="1"/>
    <xf numFmtId="0" fontId="0" fillId="0" borderId="4" xfId="0" applyFont="1" applyBorder="1"/>
    <xf numFmtId="0" fontId="9" fillId="0" borderId="5" xfId="0" applyFont="1" applyBorder="1" applyAlignment="1">
      <alignment horizontal="right" vertical="center"/>
    </xf>
    <xf numFmtId="0" fontId="9" fillId="0" borderId="6" xfId="0" applyFont="1" applyBorder="1"/>
    <xf numFmtId="0" fontId="9" fillId="0" borderId="7" xfId="0" applyFont="1" applyBorder="1" applyAlignment="1">
      <alignment horizontal="right" vertical="center"/>
    </xf>
    <xf numFmtId="0" fontId="9" fillId="0" borderId="8" xfId="0" applyFont="1" applyBorder="1"/>
    <xf numFmtId="0" fontId="0" fillId="0" borderId="9" xfId="0" applyFont="1" applyBorder="1"/>
    <xf numFmtId="0" fontId="9" fillId="0" borderId="10" xfId="0" applyFont="1" applyBorder="1" applyAlignment="1">
      <alignment horizontal="right" vertical="center"/>
    </xf>
    <xf numFmtId="0" fontId="9" fillId="0" borderId="11" xfId="0" applyFont="1" applyBorder="1"/>
    <xf numFmtId="0" fontId="3" fillId="0" borderId="12" xfId="0" applyFont="1" applyBorder="1"/>
    <xf numFmtId="0" fontId="0" fillId="0" borderId="12" xfId="0" applyFont="1" applyBorder="1"/>
    <xf numFmtId="0" fontId="9" fillId="0" borderId="13" xfId="0" applyFont="1" applyBorder="1" applyAlignment="1">
      <alignment horizontal="right" vertical="center"/>
    </xf>
    <xf numFmtId="0" fontId="3" fillId="0" borderId="0" xfId="0" applyFont="1"/>
    <xf numFmtId="14" fontId="9" fillId="0" borderId="0" xfId="0" applyNumberFormat="1" applyFont="1"/>
    <xf numFmtId="0" fontId="8" fillId="0" borderId="8" xfId="0" applyFont="1" applyBorder="1"/>
    <xf numFmtId="0" fontId="8" fillId="3" borderId="14" xfId="0" applyFont="1" applyFill="1" applyBorder="1"/>
    <xf numFmtId="0" fontId="0" fillId="3" borderId="15" xfId="0" applyFont="1" applyFill="1" applyBorder="1"/>
    <xf numFmtId="0" fontId="0" fillId="3" borderId="16" xfId="0" applyFont="1" applyFill="1" applyBorder="1"/>
    <xf numFmtId="0" fontId="0" fillId="0" borderId="17" xfId="0" applyFont="1" applyBorder="1"/>
    <xf numFmtId="0" fontId="0" fillId="3" borderId="18" xfId="0" applyFont="1" applyFill="1" applyBorder="1"/>
    <xf numFmtId="0" fontId="9" fillId="3" borderId="19" xfId="0" applyFont="1" applyFill="1" applyBorder="1" applyAlignment="1">
      <alignment horizontal="right" vertical="center"/>
    </xf>
    <xf numFmtId="0" fontId="0" fillId="0" borderId="20" xfId="0" applyFont="1" applyBorder="1"/>
    <xf numFmtId="0" fontId="10" fillId="0" borderId="21" xfId="0" applyFont="1" applyBorder="1"/>
    <xf numFmtId="0" fontId="0" fillId="0" borderId="22" xfId="0" applyFont="1" applyBorder="1"/>
    <xf numFmtId="0" fontId="0" fillId="3" borderId="1" xfId="0" applyFont="1" applyFill="1" applyBorder="1"/>
    <xf numFmtId="0" fontId="10" fillId="0" borderId="23" xfId="0" applyFont="1" applyBorder="1"/>
    <xf numFmtId="0" fontId="0" fillId="0" borderId="24" xfId="0" applyFont="1" applyBorder="1"/>
    <xf numFmtId="0" fontId="0" fillId="0" borderId="25" xfId="0" applyFont="1" applyBorder="1"/>
    <xf numFmtId="0" fontId="3" fillId="0" borderId="26" xfId="0" applyFont="1" applyBorder="1"/>
    <xf numFmtId="0" fontId="11" fillId="0" borderId="27" xfId="0" applyFont="1" applyBorder="1"/>
    <xf numFmtId="0" fontId="9" fillId="0" borderId="28" xfId="0" applyFont="1" applyBorder="1" applyAlignment="1">
      <alignment horizontal="center" vertical="center"/>
    </xf>
    <xf numFmtId="0" fontId="0" fillId="0" borderId="29" xfId="0" applyFont="1" applyBorder="1"/>
    <xf numFmtId="0" fontId="0" fillId="0" borderId="6" xfId="0" applyFont="1" applyBorder="1"/>
    <xf numFmtId="0" fontId="12" fillId="0" borderId="0" xfId="0" applyFont="1"/>
    <xf numFmtId="0" fontId="3" fillId="0" borderId="30" xfId="0" applyFont="1" applyBorder="1"/>
    <xf numFmtId="9" fontId="12" fillId="0" borderId="31" xfId="0" applyNumberFormat="1" applyFont="1" applyBorder="1" applyAlignment="1">
      <alignment horizontal="center"/>
    </xf>
    <xf numFmtId="0" fontId="0" fillId="0" borderId="7" xfId="0" applyFont="1" applyBorder="1"/>
    <xf numFmtId="0" fontId="3" fillId="0" borderId="6" xfId="0" applyFont="1" applyBorder="1"/>
    <xf numFmtId="0" fontId="0" fillId="0" borderId="30" xfId="0" applyFont="1" applyBorder="1"/>
    <xf numFmtId="10" fontId="12" fillId="0" borderId="31" xfId="0" applyNumberFormat="1" applyFont="1" applyBorder="1" applyAlignment="1">
      <alignment horizontal="center"/>
    </xf>
    <xf numFmtId="0" fontId="0" fillId="0" borderId="31" xfId="0" applyFont="1" applyBorder="1" applyAlignment="1">
      <alignment horizontal="center"/>
    </xf>
    <xf numFmtId="0" fontId="12" fillId="0" borderId="31" xfId="0" applyFont="1" applyBorder="1"/>
    <xf numFmtId="0" fontId="0" fillId="0" borderId="31" xfId="0" applyFont="1" applyBorder="1"/>
    <xf numFmtId="0" fontId="3" fillId="0" borderId="7" xfId="0" applyFont="1" applyBorder="1"/>
    <xf numFmtId="0" fontId="0" fillId="0" borderId="8" xfId="0" applyFont="1" applyBorder="1"/>
    <xf numFmtId="0" fontId="9" fillId="0" borderId="9" xfId="0" applyFont="1" applyBorder="1"/>
    <xf numFmtId="0" fontId="0" fillId="0" borderId="32" xfId="0" applyFont="1" applyBorder="1"/>
    <xf numFmtId="0" fontId="9" fillId="0" borderId="33" xfId="0" applyFont="1" applyBorder="1"/>
    <xf numFmtId="0" fontId="0" fillId="0" borderId="10" xfId="0" applyFont="1" applyBorder="1"/>
    <xf numFmtId="0" fontId="0" fillId="3" borderId="34" xfId="0" applyFont="1" applyFill="1" applyBorder="1"/>
    <xf numFmtId="0" fontId="0" fillId="3" borderId="35" xfId="0" applyFont="1" applyFill="1" applyBorder="1"/>
    <xf numFmtId="0" fontId="10" fillId="0" borderId="0" xfId="0" applyFont="1"/>
    <xf numFmtId="0" fontId="11" fillId="0" borderId="0" xfId="0" applyFont="1"/>
    <xf numFmtId="0" fontId="11" fillId="0" borderId="7" xfId="0" applyFont="1" applyBorder="1"/>
    <xf numFmtId="0" fontId="14" fillId="0" borderId="0" xfId="0" applyFont="1"/>
    <xf numFmtId="0" fontId="0" fillId="0" borderId="38" xfId="0" applyFont="1" applyBorder="1"/>
    <xf numFmtId="0" fontId="0" fillId="0" borderId="39" xfId="0" applyFont="1" applyBorder="1"/>
    <xf numFmtId="0" fontId="0" fillId="0" borderId="40" xfId="0" applyFont="1" applyBorder="1"/>
    <xf numFmtId="0" fontId="8" fillId="0" borderId="3" xfId="0" applyFont="1" applyBorder="1" applyAlignment="1">
      <alignment wrapText="1"/>
    </xf>
    <xf numFmtId="0" fontId="0" fillId="0" borderId="4" xfId="0" applyFont="1" applyBorder="1" applyAlignment="1">
      <alignment wrapText="1"/>
    </xf>
    <xf numFmtId="0" fontId="9" fillId="0" borderId="5" xfId="0" applyFont="1" applyBorder="1" applyAlignment="1">
      <alignment horizontal="right" vertical="center" wrapText="1"/>
    </xf>
    <xf numFmtId="0" fontId="0" fillId="0" borderId="0" xfId="0" applyFont="1" applyAlignment="1">
      <alignment wrapText="1"/>
    </xf>
    <xf numFmtId="166" fontId="3" fillId="0" borderId="6" xfId="0" applyNumberFormat="1" applyFont="1" applyBorder="1"/>
    <xf numFmtId="2" fontId="0" fillId="0" borderId="7" xfId="0" applyNumberFormat="1" applyFont="1" applyBorder="1"/>
    <xf numFmtId="2" fontId="3" fillId="0" borderId="30" xfId="0" applyNumberFormat="1" applyFont="1" applyBorder="1"/>
    <xf numFmtId="2" fontId="0" fillId="0" borderId="10" xfId="0" applyNumberFormat="1" applyFont="1" applyBorder="1"/>
    <xf numFmtId="2" fontId="11" fillId="0" borderId="7" xfId="0" applyNumberFormat="1" applyFont="1" applyBorder="1"/>
    <xf numFmtId="0" fontId="0" fillId="0" borderId="41" xfId="0" applyFont="1" applyBorder="1"/>
    <xf numFmtId="0" fontId="0" fillId="0" borderId="42" xfId="0" applyFont="1" applyBorder="1"/>
    <xf numFmtId="0" fontId="0" fillId="0" borderId="43" xfId="0" applyFont="1" applyBorder="1"/>
    <xf numFmtId="0" fontId="0" fillId="0" borderId="44" xfId="0" applyFont="1" applyBorder="1" applyAlignment="1">
      <alignment wrapText="1"/>
    </xf>
    <xf numFmtId="0" fontId="15" fillId="0" borderId="0" xfId="0" applyFont="1"/>
    <xf numFmtId="2" fontId="0" fillId="0" borderId="0" xfId="0" applyNumberFormat="1" applyFont="1"/>
    <xf numFmtId="0" fontId="0" fillId="0" borderId="3" xfId="0" applyFont="1" applyBorder="1"/>
    <xf numFmtId="0" fontId="0" fillId="0" borderId="5" xfId="0" applyFont="1" applyBorder="1"/>
    <xf numFmtId="0" fontId="0" fillId="0" borderId="45" xfId="0" applyFont="1" applyBorder="1"/>
    <xf numFmtId="0" fontId="0" fillId="0" borderId="46" xfId="0" applyFont="1" applyBorder="1"/>
    <xf numFmtId="0" fontId="0" fillId="0" borderId="47" xfId="0" applyFont="1" applyBorder="1"/>
    <xf numFmtId="0" fontId="0" fillId="0" borderId="48" xfId="0" applyFont="1" applyBorder="1" applyAlignment="1">
      <alignment wrapText="1"/>
    </xf>
    <xf numFmtId="0" fontId="0" fillId="0" borderId="45" xfId="0" applyFont="1" applyBorder="1" applyAlignment="1">
      <alignment vertical="center"/>
    </xf>
    <xf numFmtId="0" fontId="0" fillId="0" borderId="46" xfId="0" applyFont="1" applyBorder="1" applyAlignment="1">
      <alignment vertical="center"/>
    </xf>
    <xf numFmtId="2" fontId="0" fillId="0" borderId="6" xfId="0" applyNumberFormat="1" applyFont="1" applyBorder="1"/>
    <xf numFmtId="1" fontId="0" fillId="0" borderId="6" xfId="0" applyNumberFormat="1" applyFont="1" applyBorder="1"/>
    <xf numFmtId="1" fontId="0" fillId="0" borderId="7" xfId="0" applyNumberFormat="1" applyFont="1" applyBorder="1"/>
    <xf numFmtId="0" fontId="0" fillId="0" borderId="49" xfId="0" applyFont="1" applyBorder="1" applyAlignment="1">
      <alignment wrapText="1"/>
    </xf>
    <xf numFmtId="1" fontId="0" fillId="0" borderId="40" xfId="0" applyNumberFormat="1" applyFont="1" applyBorder="1"/>
    <xf numFmtId="2" fontId="16" fillId="0" borderId="0" xfId="0" applyNumberFormat="1" applyFont="1"/>
    <xf numFmtId="0" fontId="0" fillId="0" borderId="50" xfId="0" applyFont="1" applyBorder="1" applyAlignment="1">
      <alignment vertical="center"/>
    </xf>
    <xf numFmtId="0" fontId="0" fillId="0" borderId="51" xfId="0" applyFont="1" applyBorder="1"/>
    <xf numFmtId="0" fontId="0" fillId="0" borderId="52" xfId="0" applyFont="1" applyBorder="1"/>
    <xf numFmtId="0" fontId="11" fillId="0" borderId="0" xfId="0" applyFont="1" applyAlignment="1">
      <alignment wrapText="1"/>
    </xf>
    <xf numFmtId="2" fontId="11" fillId="0" borderId="0" xfId="0" applyNumberFormat="1" applyFont="1"/>
    <xf numFmtId="0" fontId="0" fillId="4" borderId="1" xfId="0" applyFont="1" applyFill="1" applyBorder="1"/>
    <xf numFmtId="0" fontId="0" fillId="0" borderId="41" xfId="0" applyFont="1" applyBorder="1" applyAlignment="1">
      <alignment wrapText="1"/>
    </xf>
    <xf numFmtId="0" fontId="0" fillId="0" borderId="42" xfId="0" applyFont="1" applyBorder="1" applyAlignment="1">
      <alignment wrapText="1"/>
    </xf>
    <xf numFmtId="0" fontId="0" fillId="0" borderId="43" xfId="0" applyFont="1" applyBorder="1" applyAlignment="1">
      <alignment wrapText="1"/>
    </xf>
    <xf numFmtId="0" fontId="0" fillId="0" borderId="45" xfId="0" applyFont="1" applyBorder="1" applyAlignment="1">
      <alignment wrapText="1"/>
    </xf>
    <xf numFmtId="0" fontId="0" fillId="0" borderId="46" xfId="0" applyFont="1" applyBorder="1" applyAlignment="1">
      <alignment wrapText="1"/>
    </xf>
    <xf numFmtId="0" fontId="0" fillId="0" borderId="47" xfId="0" applyFont="1" applyBorder="1" applyAlignment="1">
      <alignment wrapText="1"/>
    </xf>
    <xf numFmtId="0" fontId="16" fillId="0" borderId="0" xfId="0" applyFont="1"/>
    <xf numFmtId="0" fontId="0" fillId="0" borderId="51" xfId="0" applyFont="1" applyBorder="1" applyAlignment="1">
      <alignment wrapText="1"/>
    </xf>
    <xf numFmtId="0" fontId="0" fillId="0" borderId="52" xfId="0" applyFont="1" applyBorder="1" applyAlignment="1">
      <alignment wrapText="1"/>
    </xf>
    <xf numFmtId="0" fontId="0" fillId="0" borderId="41" xfId="0" applyFont="1" applyBorder="1" applyAlignment="1">
      <alignment vertical="center"/>
    </xf>
    <xf numFmtId="0" fontId="0" fillId="0" borderId="44" xfId="0" applyFont="1" applyBorder="1"/>
    <xf numFmtId="0" fontId="0" fillId="0" borderId="48" xfId="0" applyFont="1" applyBorder="1"/>
    <xf numFmtId="0" fontId="0" fillId="0" borderId="53" xfId="0" applyFont="1" applyBorder="1"/>
    <xf numFmtId="0" fontId="0" fillId="5" borderId="54" xfId="0" applyFont="1" applyFill="1" applyBorder="1" applyAlignment="1">
      <alignment horizontal="right"/>
    </xf>
    <xf numFmtId="2" fontId="0" fillId="5" borderId="55" xfId="0" applyNumberFormat="1" applyFont="1" applyFill="1" applyBorder="1"/>
    <xf numFmtId="0" fontId="11" fillId="0" borderId="56" xfId="0" applyFont="1" applyBorder="1"/>
    <xf numFmtId="0" fontId="11" fillId="0" borderId="57" xfId="0" applyFont="1" applyBorder="1"/>
    <xf numFmtId="167" fontId="0" fillId="0" borderId="0" xfId="0" applyNumberFormat="1" applyFont="1"/>
    <xf numFmtId="167" fontId="16" fillId="0" borderId="0" xfId="0" applyNumberFormat="1" applyFont="1"/>
    <xf numFmtId="167" fontId="11" fillId="0" borderId="0" xfId="0" applyNumberFormat="1" applyFont="1"/>
    <xf numFmtId="0" fontId="0" fillId="5" borderId="58" xfId="0" applyFont="1" applyFill="1" applyBorder="1"/>
    <xf numFmtId="0" fontId="0" fillId="0" borderId="58" xfId="0" applyFont="1" applyBorder="1"/>
    <xf numFmtId="0" fontId="0" fillId="5" borderId="1" xfId="0" applyFont="1" applyFill="1" applyBorder="1"/>
    <xf numFmtId="0" fontId="0" fillId="0" borderId="58" xfId="0" applyFont="1" applyBorder="1" applyAlignment="1">
      <alignment vertical="center"/>
    </xf>
    <xf numFmtId="1" fontId="0" fillId="6" borderId="1" xfId="0" applyNumberFormat="1" applyFont="1" applyFill="1" applyBorder="1"/>
    <xf numFmtId="0" fontId="0" fillId="0" borderId="59" xfId="0" applyFont="1" applyBorder="1" applyAlignment="1">
      <alignment vertical="center"/>
    </xf>
    <xf numFmtId="0" fontId="0" fillId="0" borderId="59" xfId="0" applyFont="1" applyBorder="1"/>
    <xf numFmtId="0" fontId="11" fillId="0" borderId="56" xfId="0" applyFont="1" applyBorder="1" applyAlignment="1">
      <alignment vertical="center"/>
    </xf>
    <xf numFmtId="0" fontId="0" fillId="0" borderId="54" xfId="0" applyFont="1" applyBorder="1"/>
    <xf numFmtId="0" fontId="0" fillId="6" borderId="1" xfId="0" applyFont="1" applyFill="1" applyBorder="1" applyAlignment="1">
      <alignment vertical="center"/>
    </xf>
    <xf numFmtId="0" fontId="0" fillId="6" borderId="1" xfId="0" applyFont="1" applyFill="1" applyBorder="1"/>
    <xf numFmtId="1" fontId="0" fillId="0" borderId="0" xfId="0" applyNumberFormat="1" applyFont="1"/>
    <xf numFmtId="0" fontId="4" fillId="0" borderId="3" xfId="0" applyFont="1" applyBorder="1"/>
    <xf numFmtId="168" fontId="17" fillId="0" borderId="60" xfId="0" applyNumberFormat="1" applyFont="1" applyBorder="1"/>
    <xf numFmtId="168" fontId="17" fillId="0" borderId="61" xfId="0" applyNumberFormat="1" applyFont="1" applyBorder="1"/>
    <xf numFmtId="0" fontId="4" fillId="0" borderId="6" xfId="0" applyFont="1" applyBorder="1"/>
    <xf numFmtId="168" fontId="17" fillId="0" borderId="62" xfId="0" applyNumberFormat="1" applyFont="1" applyBorder="1"/>
    <xf numFmtId="168" fontId="17" fillId="0" borderId="63" xfId="0" applyNumberFormat="1" applyFont="1" applyBorder="1"/>
    <xf numFmtId="166" fontId="17" fillId="0" borderId="62" xfId="0" applyNumberFormat="1" applyFont="1" applyBorder="1"/>
    <xf numFmtId="169" fontId="17" fillId="0" borderId="62" xfId="0" applyNumberFormat="1" applyFont="1" applyBorder="1"/>
    <xf numFmtId="0" fontId="4" fillId="0" borderId="11" xfId="0" applyFont="1" applyBorder="1"/>
    <xf numFmtId="168" fontId="0" fillId="0" borderId="59" xfId="0" applyNumberFormat="1" applyFont="1" applyBorder="1"/>
    <xf numFmtId="168" fontId="17" fillId="0" borderId="64" xfId="0" applyNumberFormat="1" applyFont="1" applyBorder="1"/>
    <xf numFmtId="168" fontId="0" fillId="0" borderId="62" xfId="0" applyNumberFormat="1" applyFont="1" applyBorder="1"/>
    <xf numFmtId="0" fontId="4" fillId="0" borderId="38" xfId="0" applyFont="1" applyBorder="1"/>
    <xf numFmtId="0" fontId="18" fillId="0" borderId="38" xfId="0" applyFont="1" applyBorder="1"/>
    <xf numFmtId="168" fontId="18" fillId="0" borderId="65" xfId="0" applyNumberFormat="1" applyFont="1" applyBorder="1"/>
    <xf numFmtId="170" fontId="19" fillId="0" borderId="66" xfId="0" applyNumberFormat="1" applyFont="1" applyBorder="1"/>
    <xf numFmtId="0" fontId="0" fillId="0" borderId="3" xfId="0" applyFont="1" applyBorder="1" applyAlignment="1">
      <alignment vertical="center"/>
    </xf>
    <xf numFmtId="0" fontId="0" fillId="0" borderId="5" xfId="0" applyFont="1" applyBorder="1" applyAlignment="1">
      <alignment wrapText="1"/>
    </xf>
    <xf numFmtId="0" fontId="0" fillId="0" borderId="6" xfId="0" applyFont="1" applyBorder="1" applyAlignment="1">
      <alignment vertical="center"/>
    </xf>
    <xf numFmtId="0" fontId="0" fillId="0" borderId="7" xfId="0" applyFont="1" applyBorder="1" applyAlignment="1">
      <alignment wrapText="1"/>
    </xf>
    <xf numFmtId="0" fontId="0" fillId="0" borderId="38" xfId="0" applyFont="1" applyBorder="1" applyAlignment="1">
      <alignment vertical="center"/>
    </xf>
    <xf numFmtId="0" fontId="0" fillId="0" borderId="39" xfId="0" applyFont="1" applyBorder="1" applyAlignment="1">
      <alignment wrapText="1"/>
    </xf>
    <xf numFmtId="0" fontId="0" fillId="0" borderId="40" xfId="0" applyFont="1" applyBorder="1" applyAlignment="1">
      <alignment wrapText="1"/>
    </xf>
    <xf numFmtId="0" fontId="0" fillId="0" borderId="46" xfId="0" applyFont="1" applyBorder="1" applyAlignment="1">
      <alignment vertical="center" wrapText="1"/>
    </xf>
    <xf numFmtId="2" fontId="0" fillId="0" borderId="46" xfId="0" applyNumberFormat="1" applyFont="1" applyBorder="1" applyAlignment="1">
      <alignment horizontal="right" wrapText="1"/>
    </xf>
    <xf numFmtId="0" fontId="0" fillId="0" borderId="46" xfId="0" applyFont="1" applyBorder="1" applyAlignment="1">
      <alignment horizontal="right" wrapText="1"/>
    </xf>
    <xf numFmtId="14" fontId="9" fillId="0" borderId="6" xfId="0" applyNumberFormat="1" applyFont="1" applyBorder="1"/>
    <xf numFmtId="0" fontId="20" fillId="0" borderId="6" xfId="0" applyFont="1" applyBorder="1"/>
    <xf numFmtId="0" fontId="21" fillId="0" borderId="6" xfId="0" applyFont="1" applyBorder="1"/>
    <xf numFmtId="0" fontId="20" fillId="0" borderId="10" xfId="0" applyFont="1" applyBorder="1"/>
    <xf numFmtId="171" fontId="12" fillId="0" borderId="31" xfId="0" applyNumberFormat="1" applyFont="1" applyBorder="1" applyAlignment="1">
      <alignment horizontal="center"/>
    </xf>
    <xf numFmtId="0" fontId="0" fillId="7" borderId="1" xfId="0" applyFont="1" applyFill="1" applyBorder="1"/>
    <xf numFmtId="0" fontId="0" fillId="8" borderId="0" xfId="0" applyFont="1" applyFill="1"/>
    <xf numFmtId="0" fontId="4" fillId="8" borderId="0" xfId="0" applyFont="1" applyFill="1"/>
    <xf numFmtId="0" fontId="12" fillId="0" borderId="36" xfId="0" applyFont="1" applyBorder="1" applyAlignment="1">
      <alignment horizontal="left" wrapText="1"/>
    </xf>
    <xf numFmtId="0" fontId="13" fillId="0" borderId="37" xfId="0" applyFont="1" applyBorder="1"/>
    <xf numFmtId="0" fontId="13" fillId="0" borderId="31" xfId="0" applyFont="1" applyBorder="1"/>
    <xf numFmtId="0" fontId="13" fillId="0" borderId="30" xfId="0" applyFont="1" applyBorder="1"/>
    <xf numFmtId="0" fontId="13" fillId="0" borderId="33" xfId="0" applyFont="1" applyBorder="1"/>
    <xf numFmtId="0" fontId="13" fillId="0" borderId="32" xfId="0" applyFont="1" applyBorder="1"/>
    <xf numFmtId="14" fontId="9" fillId="0" borderId="1" xfId="0" applyNumberFormat="1" applyFont="1" applyBorder="1" applyAlignment="1">
      <alignment horizontal="center" wrapText="1"/>
    </xf>
    <xf numFmtId="14" fontId="9" fillId="0" borderId="9" xfId="0" applyNumberFormat="1" applyFont="1" applyBorder="1" applyAlignment="1">
      <alignment horizontal="center" wrapText="1"/>
    </xf>
    <xf numFmtId="170" fontId="0" fillId="7" borderId="2" xfId="0" applyNumberFormat="1" applyFont="1" applyFill="1" applyBorder="1"/>
    <xf numFmtId="0" fontId="0" fillId="7" borderId="2" xfId="0" applyFont="1" applyFill="1" applyBorder="1"/>
    <xf numFmtId="0" fontId="2" fillId="0" borderId="1" xfId="0" applyFont="1" applyFill="1" applyBorder="1" applyAlignment="1">
      <alignment wrapText="1"/>
    </xf>
    <xf numFmtId="0" fontId="0" fillId="0" borderId="1" xfId="0" applyFont="1" applyFill="1" applyBorder="1"/>
    <xf numFmtId="0" fontId="0" fillId="0" borderId="0" xfId="0" applyFont="1" applyFill="1"/>
    <xf numFmtId="0" fontId="0" fillId="0" borderId="0" xfId="0" applyFont="1" applyFill="1" applyAlignment="1"/>
    <xf numFmtId="0" fontId="2" fillId="2" borderId="1" xfId="0" applyFont="1" applyFill="1" applyBorder="1" applyAlignment="1"/>
    <xf numFmtId="170" fontId="0" fillId="7" borderId="1" xfId="0" applyNumberFormat="1" applyFont="1" applyFill="1" applyBorder="1"/>
    <xf numFmtId="1" fontId="11" fillId="0" borderId="7" xfId="0" applyNumberFormat="1" applyFont="1" applyBorder="1"/>
    <xf numFmtId="0" fontId="0" fillId="0" borderId="1" xfId="0" applyFont="1" applyFill="1" applyBorder="1" applyAlignment="1">
      <alignment horizontal="right"/>
    </xf>
    <xf numFmtId="14" fontId="0" fillId="0" borderId="1" xfId="0" applyNumberFormat="1" applyFont="1" applyFill="1" applyBorder="1"/>
    <xf numFmtId="0" fontId="3" fillId="0" borderId="1" xfId="0" applyFont="1" applyFill="1" applyBorder="1"/>
    <xf numFmtId="164" fontId="0" fillId="0" borderId="0" xfId="0" applyNumberFormat="1" applyFont="1" applyFill="1"/>
    <xf numFmtId="0" fontId="4" fillId="0" borderId="0" xfId="0" applyFont="1" applyFill="1"/>
    <xf numFmtId="14" fontId="0" fillId="8" borderId="0" xfId="0" applyNumberFormat="1" applyFont="1" applyFill="1"/>
    <xf numFmtId="0" fontId="0" fillId="8" borderId="0" xfId="0" applyFont="1" applyFill="1" applyAlignment="1"/>
    <xf numFmtId="0" fontId="0" fillId="9" borderId="1" xfId="0" applyFont="1" applyFill="1" applyBorder="1"/>
    <xf numFmtId="0" fontId="3" fillId="9" borderId="1" xfId="0" applyFont="1" applyFill="1" applyBorder="1"/>
    <xf numFmtId="170" fontId="0" fillId="0" borderId="2" xfId="0" applyNumberFormat="1" applyFont="1" applyFill="1" applyBorder="1"/>
    <xf numFmtId="0" fontId="0" fillId="0" borderId="2" xfId="0" applyFont="1" applyFill="1" applyBorder="1"/>
    <xf numFmtId="166" fontId="0" fillId="0" borderId="2" xfId="0" applyNumberFormat="1" applyFont="1" applyFill="1" applyBorder="1"/>
    <xf numFmtId="0" fontId="23" fillId="0" borderId="30" xfId="1" applyNumberFormat="1" applyFont="1" applyBorder="1"/>
    <xf numFmtId="0" fontId="24" fillId="0" borderId="7" xfId="0" applyFont="1" applyBorder="1"/>
    <xf numFmtId="0" fontId="23" fillId="0" borderId="7" xfId="0" applyFont="1" applyBorder="1"/>
    <xf numFmtId="1" fontId="24" fillId="0" borderId="10" xfId="0" applyNumberFormat="1" applyFont="1" applyBorder="1"/>
    <xf numFmtId="0" fontId="25" fillId="0" borderId="0" xfId="0" applyFont="1"/>
    <xf numFmtId="0" fontId="0" fillId="9" borderId="1" xfId="0" applyFont="1" applyFill="1" applyBorder="1" applyAlignment="1">
      <alignment horizontal="right"/>
    </xf>
    <xf numFmtId="14" fontId="0" fillId="9" borderId="1" xfId="0" applyNumberFormat="1" applyFont="1" applyFill="1" applyBorder="1"/>
    <xf numFmtId="0" fontId="0" fillId="8" borderId="1" xfId="0" applyFont="1" applyFill="1" applyBorder="1"/>
    <xf numFmtId="170" fontId="0" fillId="8" borderId="2" xfId="0" applyNumberFormat="1" applyFont="1" applyFill="1" applyBorder="1"/>
    <xf numFmtId="0" fontId="0" fillId="8" borderId="2" xfId="0" applyFont="1" applyFill="1" applyBorder="1"/>
    <xf numFmtId="14" fontId="0" fillId="8" borderId="1" xfId="0" applyNumberFormat="1" applyFont="1" applyFill="1" applyBorder="1"/>
    <xf numFmtId="0" fontId="21" fillId="0" borderId="1" xfId="0" applyFont="1" applyFill="1" applyBorder="1"/>
    <xf numFmtId="14" fontId="3" fillId="0" borderId="1" xfId="0" applyNumberFormat="1" applyFont="1" applyFill="1" applyBorder="1"/>
    <xf numFmtId="0" fontId="26" fillId="2" borderId="2" xfId="0" applyFont="1" applyFill="1" applyBorder="1" applyAlignment="1">
      <alignment wrapText="1"/>
    </xf>
    <xf numFmtId="0" fontId="29" fillId="0" borderId="12" xfId="0" applyFont="1" applyBorder="1"/>
    <xf numFmtId="0" fontId="30" fillId="0" borderId="12" xfId="0" applyFont="1" applyBorder="1"/>
    <xf numFmtId="0" fontId="0" fillId="0" borderId="69" xfId="0" applyFont="1" applyBorder="1"/>
    <xf numFmtId="0" fontId="28" fillId="0" borderId="30" xfId="0" applyFont="1" applyBorder="1"/>
    <xf numFmtId="0" fontId="34" fillId="0" borderId="30" xfId="1" applyNumberFormat="1" applyFont="1" applyBorder="1"/>
    <xf numFmtId="0" fontId="33" fillId="0" borderId="30" xfId="0" applyFont="1" applyBorder="1"/>
    <xf numFmtId="0" fontId="21" fillId="10" borderId="69" xfId="0" applyFont="1" applyFill="1" applyBorder="1"/>
    <xf numFmtId="0" fontId="25" fillId="10" borderId="1" xfId="0" applyFont="1" applyFill="1" applyBorder="1"/>
    <xf numFmtId="0" fontId="27" fillId="10" borderId="1" xfId="0" applyFont="1" applyFill="1" applyBorder="1"/>
    <xf numFmtId="0" fontId="8" fillId="0" borderId="67" xfId="0" applyFont="1" applyBorder="1"/>
    <xf numFmtId="0" fontId="0" fillId="0" borderId="73" xfId="0" applyFont="1" applyBorder="1"/>
    <xf numFmtId="0" fontId="9" fillId="0" borderId="68" xfId="0" applyFont="1" applyBorder="1" applyAlignment="1">
      <alignment horizontal="right" vertical="center"/>
    </xf>
    <xf numFmtId="0" fontId="9" fillId="0" borderId="69" xfId="0" applyFont="1" applyBorder="1"/>
    <xf numFmtId="0" fontId="0" fillId="0" borderId="1" xfId="0" applyFont="1" applyBorder="1"/>
    <xf numFmtId="0" fontId="9" fillId="0" borderId="70" xfId="0" applyFont="1" applyBorder="1" applyAlignment="1">
      <alignment horizontal="right" vertical="center"/>
    </xf>
    <xf numFmtId="0" fontId="9" fillId="0" borderId="74" xfId="0" applyFont="1" applyBorder="1"/>
    <xf numFmtId="0" fontId="9" fillId="0" borderId="75" xfId="0" applyFont="1" applyBorder="1" applyAlignment="1">
      <alignment horizontal="right" vertical="center"/>
    </xf>
    <xf numFmtId="0" fontId="9" fillId="0" borderId="76" xfId="0" applyFont="1" applyBorder="1"/>
    <xf numFmtId="0" fontId="21" fillId="0" borderId="1" xfId="0" applyFont="1" applyBorder="1"/>
    <xf numFmtId="0" fontId="31" fillId="0" borderId="77" xfId="0" applyFont="1" applyBorder="1" applyAlignment="1">
      <alignment horizontal="right" vertical="center"/>
    </xf>
    <xf numFmtId="0" fontId="3" fillId="0" borderId="1" xfId="0" applyFont="1" applyBorder="1"/>
    <xf numFmtId="14" fontId="9" fillId="0" borderId="1" xfId="0" applyNumberFormat="1" applyFont="1" applyBorder="1"/>
    <xf numFmtId="14" fontId="0" fillId="0" borderId="1" xfId="0" applyNumberFormat="1" applyFont="1" applyBorder="1"/>
    <xf numFmtId="0" fontId="8" fillId="0" borderId="74" xfId="0" applyFont="1" applyBorder="1"/>
    <xf numFmtId="0" fontId="8" fillId="3" borderId="78" xfId="0" applyFont="1" applyFill="1" applyBorder="1"/>
    <xf numFmtId="0" fontId="0" fillId="3" borderId="17" xfId="0" applyFont="1" applyFill="1" applyBorder="1"/>
    <xf numFmtId="0" fontId="9" fillId="3" borderId="79" xfId="0" applyFont="1" applyFill="1" applyBorder="1" applyAlignment="1">
      <alignment horizontal="right" vertical="center"/>
    </xf>
    <xf numFmtId="0" fontId="0" fillId="0" borderId="80" xfId="0" applyFont="1" applyBorder="1"/>
    <xf numFmtId="0" fontId="0" fillId="0" borderId="81" xfId="0" applyFont="1" applyBorder="1"/>
    <xf numFmtId="0" fontId="3" fillId="0" borderId="82" xfId="0" applyFont="1" applyBorder="1"/>
    <xf numFmtId="0" fontId="9" fillId="0" borderId="83" xfId="0" applyFont="1" applyBorder="1" applyAlignment="1">
      <alignment horizontal="center" vertical="center"/>
    </xf>
    <xf numFmtId="0" fontId="32" fillId="0" borderId="1" xfId="0" applyFont="1" applyBorder="1"/>
    <xf numFmtId="0" fontId="12" fillId="0" borderId="1" xfId="0" applyFont="1" applyBorder="1"/>
    <xf numFmtId="0" fontId="24" fillId="0" borderId="70" xfId="0" applyFont="1" applyBorder="1"/>
    <xf numFmtId="0" fontId="3" fillId="0" borderId="69" xfId="0" applyFont="1" applyBorder="1"/>
    <xf numFmtId="0" fontId="27" fillId="10" borderId="69" xfId="0" applyFont="1" applyFill="1" applyBorder="1"/>
    <xf numFmtId="0" fontId="5" fillId="0" borderId="1" xfId="0" applyFont="1" applyBorder="1"/>
    <xf numFmtId="0" fontId="23" fillId="0" borderId="70" xfId="0" applyFont="1" applyBorder="1"/>
    <xf numFmtId="0" fontId="0" fillId="0" borderId="1" xfId="0" applyFont="1" applyBorder="1" applyAlignment="1"/>
    <xf numFmtId="0" fontId="0" fillId="0" borderId="74" xfId="0" applyFont="1" applyBorder="1"/>
    <xf numFmtId="1" fontId="24" fillId="0" borderId="75" xfId="0" applyNumberFormat="1" applyFont="1" applyBorder="1"/>
    <xf numFmtId="0" fontId="0" fillId="3" borderId="69" xfId="0" applyFont="1" applyFill="1" applyBorder="1"/>
    <xf numFmtId="0" fontId="0" fillId="3" borderId="70" xfId="0" applyFont="1" applyFill="1" applyBorder="1"/>
    <xf numFmtId="0" fontId="10" fillId="0" borderId="1" xfId="0" applyFont="1" applyBorder="1"/>
    <xf numFmtId="0" fontId="11" fillId="0" borderId="1" xfId="0" applyFont="1" applyBorder="1"/>
    <xf numFmtId="1" fontId="11" fillId="0" borderId="70" xfId="0" applyNumberFormat="1" applyFont="1" applyBorder="1"/>
    <xf numFmtId="0" fontId="0" fillId="0" borderId="70" xfId="0" applyFont="1" applyBorder="1"/>
    <xf numFmtId="0" fontId="14" fillId="0" borderId="1" xfId="0" applyFont="1" applyBorder="1"/>
    <xf numFmtId="0" fontId="0" fillId="0" borderId="71" xfId="0" applyFont="1" applyBorder="1"/>
    <xf numFmtId="0" fontId="0" fillId="0" borderId="84" xfId="0" applyFont="1" applyBorder="1"/>
    <xf numFmtId="0" fontId="0" fillId="0" borderId="72" xfId="0" applyFont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314325</xdr:colOff>
      <xdr:row>30</xdr:row>
      <xdr:rowOff>76200</xdr:rowOff>
    </xdr:from>
    <xdr:ext cx="3914775" cy="85725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3393375" y="3741900"/>
          <a:ext cx="3905250" cy="76200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noAutofit/>
        </a:bodyPr>
        <a:lstStyle/>
        <a:p>
          <a:pPr marL="0" marR="0" lvl="0" indent="0" algn="l" rtl="0">
            <a:spcBef>
              <a:spcPts val="0"/>
            </a:spcBef>
            <a:spcAft>
              <a:spcPts val="0"/>
            </a:spcAft>
            <a:buSzPts val="1200"/>
            <a:buFont typeface="Arial"/>
            <a:buNone/>
          </a:pPr>
          <a:r>
            <a:rPr lang="en-US" sz="1200" b="0" i="0" u="none" strike="noStrike" cap="none">
              <a:latin typeface="Arial"/>
              <a:ea typeface="Arial"/>
              <a:cs typeface="Arial"/>
              <a:sym typeface="Arial"/>
            </a:rPr>
            <a:t>          </a:t>
          </a:r>
          <a:endParaRPr sz="1400"/>
        </a:p>
      </xdr:txBody>
    </xdr:sp>
    <xdr:clientData fLocksWithSheet="0"/>
  </xdr:oneCellAnchor>
  <xdr:oneCellAnchor>
    <xdr:from>
      <xdr:col>6</xdr:col>
      <xdr:colOff>447675</xdr:colOff>
      <xdr:row>31</xdr:row>
      <xdr:rowOff>0</xdr:rowOff>
    </xdr:from>
    <xdr:ext cx="2905125" cy="171450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3898200" y="3699038"/>
          <a:ext cx="2895600" cy="161925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noAutofit/>
        </a:bodyPr>
        <a:lstStyle/>
        <a:p>
          <a:pPr marL="0" marR="0" lvl="0" indent="0" algn="l" rtl="0">
            <a:spcBef>
              <a:spcPts val="0"/>
            </a:spcBef>
            <a:spcAft>
              <a:spcPts val="0"/>
            </a:spcAft>
            <a:buSzPts val="1200"/>
            <a:buFont typeface="Arial"/>
            <a:buNone/>
          </a:pPr>
          <a:endParaRPr sz="1200" b="0" i="0" u="none" strike="noStrike" cap="none">
            <a:latin typeface="Arial"/>
            <a:ea typeface="Arial"/>
            <a:cs typeface="Arial"/>
            <a:sym typeface="Arial"/>
          </a:endParaRPr>
        </a:p>
      </xdr:txBody>
    </xdr:sp>
    <xdr:clientData fLocksWithSheet="0"/>
  </xdr:oneCellAnchor>
  <xdr:oneCellAnchor>
    <xdr:from>
      <xdr:col>5</xdr:col>
      <xdr:colOff>295275</xdr:colOff>
      <xdr:row>35</xdr:row>
      <xdr:rowOff>0</xdr:rowOff>
    </xdr:from>
    <xdr:ext cx="2000250" cy="95250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4350638" y="3737138"/>
          <a:ext cx="1990725" cy="85725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noAutofit/>
        </a:bodyPr>
        <a:lstStyle/>
        <a:p>
          <a:pPr marL="0" marR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 b="0" i="0" u="none" strike="noStrike" cap="none">
            <a:latin typeface="Arial"/>
            <a:ea typeface="Arial"/>
            <a:cs typeface="Arial"/>
            <a:sym typeface="Arial"/>
          </a:endParaRPr>
        </a:p>
      </xdr:txBody>
    </xdr:sp>
    <xdr:clientData fLocksWithSheet="0"/>
  </xdr:oneCellAnchor>
  <xdr:oneCellAnchor>
    <xdr:from>
      <xdr:col>1</xdr:col>
      <xdr:colOff>314325</xdr:colOff>
      <xdr:row>69</xdr:row>
      <xdr:rowOff>76200</xdr:rowOff>
    </xdr:from>
    <xdr:ext cx="3914775" cy="85725"/>
    <xdr:sp macro="" textlink="">
      <xdr:nvSpPr>
        <xdr:cNvPr id="10" name="Shape 3">
          <a:extLst>
            <a:ext uri="{FF2B5EF4-FFF2-40B4-BE49-F238E27FC236}">
              <a16:creationId xmlns:a16="http://schemas.microsoft.com/office/drawing/2014/main" id="{620F5013-FEC3-4526-8C6C-37E64FD49F95}"/>
            </a:ext>
          </a:extLst>
        </xdr:cNvPr>
        <xdr:cNvSpPr txBox="1"/>
      </xdr:nvSpPr>
      <xdr:spPr>
        <a:xfrm>
          <a:off x="1046443" y="5940612"/>
          <a:ext cx="3914775" cy="85725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noAutofit/>
        </a:bodyPr>
        <a:lstStyle/>
        <a:p>
          <a:pPr marL="0" marR="0" lvl="0" indent="0" algn="l" rtl="0">
            <a:spcBef>
              <a:spcPts val="0"/>
            </a:spcBef>
            <a:spcAft>
              <a:spcPts val="0"/>
            </a:spcAft>
            <a:buSzPts val="1200"/>
            <a:buFont typeface="Arial"/>
            <a:buNone/>
          </a:pPr>
          <a:r>
            <a:rPr lang="en-US" sz="1200" b="0" i="0" u="none" strike="noStrike" cap="none">
              <a:latin typeface="Arial"/>
              <a:ea typeface="Arial"/>
              <a:cs typeface="Arial"/>
              <a:sym typeface="Arial"/>
            </a:rPr>
            <a:t>          </a:t>
          </a:r>
          <a:endParaRPr sz="1400"/>
        </a:p>
      </xdr:txBody>
    </xdr:sp>
    <xdr:clientData fLocksWithSheet="0"/>
  </xdr:oneCellAnchor>
  <xdr:oneCellAnchor>
    <xdr:from>
      <xdr:col>6</xdr:col>
      <xdr:colOff>447675</xdr:colOff>
      <xdr:row>70</xdr:row>
      <xdr:rowOff>0</xdr:rowOff>
    </xdr:from>
    <xdr:ext cx="2905125" cy="171450"/>
    <xdr:sp macro="" textlink="">
      <xdr:nvSpPr>
        <xdr:cNvPr id="11" name="Shape 4">
          <a:extLst>
            <a:ext uri="{FF2B5EF4-FFF2-40B4-BE49-F238E27FC236}">
              <a16:creationId xmlns:a16="http://schemas.microsoft.com/office/drawing/2014/main" id="{18B5D396-B428-4D68-BBFA-3BE60020C2B6}"/>
            </a:ext>
          </a:extLst>
        </xdr:cNvPr>
        <xdr:cNvSpPr txBox="1"/>
      </xdr:nvSpPr>
      <xdr:spPr>
        <a:xfrm>
          <a:off x="8583146" y="6066118"/>
          <a:ext cx="2905125" cy="171450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noAutofit/>
        </a:bodyPr>
        <a:lstStyle/>
        <a:p>
          <a:pPr marL="0" marR="0" lvl="0" indent="0" algn="l" rtl="0">
            <a:spcBef>
              <a:spcPts val="0"/>
            </a:spcBef>
            <a:spcAft>
              <a:spcPts val="0"/>
            </a:spcAft>
            <a:buSzPts val="1200"/>
            <a:buFont typeface="Arial"/>
            <a:buNone/>
          </a:pPr>
          <a:endParaRPr sz="1200" b="0" i="0" u="none" strike="noStrike" cap="none">
            <a:latin typeface="Arial"/>
            <a:ea typeface="Arial"/>
            <a:cs typeface="Arial"/>
            <a:sym typeface="Arial"/>
          </a:endParaRPr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L994"/>
  <sheetViews>
    <sheetView tabSelected="1" zoomScale="102" zoomScaleNormal="102" workbookViewId="0">
      <selection activeCell="J7" sqref="J7"/>
    </sheetView>
  </sheetViews>
  <sheetFormatPr baseColWidth="10" defaultColWidth="14.44140625" defaultRowHeight="15" customHeight="1"/>
  <cols>
    <col min="1" max="1" width="16.6640625" customWidth="1"/>
    <col min="2" max="4" width="13" customWidth="1"/>
    <col min="5" max="5" width="18.109375" customWidth="1"/>
    <col min="6" max="6" width="21.21875" customWidth="1"/>
    <col min="7" max="7" width="13" customWidth="1"/>
    <col min="8" max="8" width="17.109375" customWidth="1"/>
    <col min="9" max="10" width="9.109375" customWidth="1"/>
    <col min="11" max="12" width="10.6640625" customWidth="1"/>
    <col min="13" max="26" width="17.33203125" customWidth="1"/>
  </cols>
  <sheetData>
    <row r="1" spans="1:12" ht="23.2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pans="1:12" ht="14.4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</row>
    <row r="3" spans="1:12" ht="14.4">
      <c r="A3" s="2" t="s">
        <v>2</v>
      </c>
      <c r="B3" s="2"/>
      <c r="C3" s="2"/>
      <c r="D3" s="2"/>
      <c r="E3" s="2"/>
      <c r="F3" s="2"/>
      <c r="G3" s="2"/>
      <c r="H3" s="2"/>
      <c r="I3" s="2"/>
      <c r="J3" s="2"/>
    </row>
    <row r="4" spans="1:12" ht="55.5" customHeight="1">
      <c r="A4" s="3" t="s">
        <v>4</v>
      </c>
      <c r="B4" s="3" t="s">
        <v>3</v>
      </c>
      <c r="C4" s="3" t="s">
        <v>5</v>
      </c>
      <c r="D4" s="3" t="s">
        <v>6</v>
      </c>
      <c r="E4" s="3" t="s">
        <v>7</v>
      </c>
      <c r="F4" s="3" t="s">
        <v>8</v>
      </c>
      <c r="G4" s="3" t="s">
        <v>9</v>
      </c>
      <c r="H4" s="3" t="s">
        <v>10</v>
      </c>
      <c r="I4" s="3" t="s">
        <v>11</v>
      </c>
      <c r="J4" s="3" t="s">
        <v>12</v>
      </c>
      <c r="K4" s="3" t="s">
        <v>13</v>
      </c>
      <c r="L4" s="3" t="s">
        <v>14</v>
      </c>
    </row>
    <row r="5" spans="1:12" ht="14.4">
      <c r="A5" s="194" t="s">
        <v>15</v>
      </c>
      <c r="B5" s="194" t="s">
        <v>16</v>
      </c>
      <c r="C5" s="204" t="s">
        <v>17</v>
      </c>
      <c r="D5" s="205">
        <v>42350</v>
      </c>
      <c r="E5" s="194" t="s">
        <v>18</v>
      </c>
      <c r="F5" s="194" t="s">
        <v>19</v>
      </c>
      <c r="G5" s="194" t="s">
        <v>20</v>
      </c>
      <c r="H5" s="194">
        <v>0</v>
      </c>
      <c r="I5" s="194"/>
      <c r="J5" s="195">
        <v>142</v>
      </c>
      <c r="K5" s="194"/>
      <c r="L5" s="194"/>
    </row>
    <row r="6" spans="1:12" ht="14.4">
      <c r="A6" s="181" t="s">
        <v>21</v>
      </c>
      <c r="B6" s="181" t="s">
        <v>22</v>
      </c>
      <c r="C6" s="187" t="s">
        <v>23</v>
      </c>
      <c r="D6" s="188">
        <v>42381</v>
      </c>
      <c r="E6" s="181" t="s">
        <v>24</v>
      </c>
      <c r="F6" s="181" t="s">
        <v>19</v>
      </c>
      <c r="G6" s="181" t="s">
        <v>25</v>
      </c>
      <c r="H6" s="181">
        <v>1</v>
      </c>
      <c r="I6" s="181" t="s">
        <v>26</v>
      </c>
      <c r="J6" s="189">
        <v>165</v>
      </c>
      <c r="K6" s="181"/>
      <c r="L6" s="181"/>
    </row>
    <row r="7" spans="1:12" ht="14.4">
      <c r="A7" s="181" t="s">
        <v>27</v>
      </c>
      <c r="B7" s="181" t="s">
        <v>28</v>
      </c>
      <c r="C7" s="187" t="s">
        <v>29</v>
      </c>
      <c r="D7" s="188">
        <v>39336</v>
      </c>
      <c r="E7" s="181" t="s">
        <v>30</v>
      </c>
      <c r="F7" s="181" t="s">
        <v>19</v>
      </c>
      <c r="G7" s="181" t="s">
        <v>20</v>
      </c>
      <c r="H7" s="181">
        <v>2</v>
      </c>
      <c r="I7" s="181" t="s">
        <v>31</v>
      </c>
      <c r="J7" s="189">
        <v>295</v>
      </c>
      <c r="K7" s="181"/>
      <c r="L7" s="181"/>
    </row>
    <row r="8" spans="1:12" ht="14.4">
      <c r="A8" s="181" t="s">
        <v>32</v>
      </c>
      <c r="B8" s="181" t="s">
        <v>33</v>
      </c>
      <c r="C8" s="187" t="s">
        <v>34</v>
      </c>
      <c r="D8" s="188">
        <v>40036</v>
      </c>
      <c r="E8" s="181" t="s">
        <v>35</v>
      </c>
      <c r="F8" s="181" t="s">
        <v>36</v>
      </c>
      <c r="G8" s="181" t="s">
        <v>37</v>
      </c>
      <c r="H8" s="181">
        <v>1</v>
      </c>
      <c r="I8" s="181" t="s">
        <v>31</v>
      </c>
      <c r="J8" s="181" t="s">
        <v>38</v>
      </c>
      <c r="K8" s="181">
        <v>32500</v>
      </c>
      <c r="L8" s="181"/>
    </row>
    <row r="9" spans="1:12" ht="14.4">
      <c r="A9" s="182" t="s">
        <v>39</v>
      </c>
      <c r="B9" s="182" t="s">
        <v>40</v>
      </c>
      <c r="C9" s="182" t="s">
        <v>41</v>
      </c>
      <c r="D9" s="190">
        <v>40238</v>
      </c>
      <c r="E9" s="182" t="s">
        <v>42</v>
      </c>
      <c r="F9" s="182" t="s">
        <v>36</v>
      </c>
      <c r="G9" s="182" t="s">
        <v>43</v>
      </c>
      <c r="H9" s="182">
        <v>3</v>
      </c>
      <c r="I9" s="182" t="s">
        <v>26</v>
      </c>
      <c r="J9" s="182"/>
      <c r="K9" s="191">
        <v>78642</v>
      </c>
      <c r="L9" s="191"/>
    </row>
    <row r="10" spans="1:12" ht="14.4">
      <c r="A10" s="168" t="s">
        <v>44</v>
      </c>
      <c r="B10" s="168" t="s">
        <v>45</v>
      </c>
      <c r="C10" s="168" t="s">
        <v>46</v>
      </c>
      <c r="D10" s="192">
        <v>41988</v>
      </c>
      <c r="E10" s="168" t="s">
        <v>47</v>
      </c>
      <c r="F10" s="168" t="s">
        <v>36</v>
      </c>
      <c r="G10" s="168" t="s">
        <v>20</v>
      </c>
      <c r="H10" s="168">
        <v>0</v>
      </c>
      <c r="I10" s="168"/>
      <c r="J10" s="168"/>
      <c r="K10" s="169">
        <v>38512</v>
      </c>
      <c r="L10" s="193">
        <v>10500</v>
      </c>
    </row>
    <row r="11" spans="1:12" ht="14.4">
      <c r="A11" s="2" t="s">
        <v>48</v>
      </c>
      <c r="B11" s="2" t="s">
        <v>49</v>
      </c>
      <c r="C11" s="2" t="s">
        <v>50</v>
      </c>
      <c r="D11" s="6">
        <v>42290</v>
      </c>
      <c r="E11" s="2" t="s">
        <v>51</v>
      </c>
      <c r="F11" s="2" t="s">
        <v>36</v>
      </c>
      <c r="G11" s="2" t="s">
        <v>52</v>
      </c>
      <c r="H11" s="2">
        <v>1</v>
      </c>
      <c r="I11" s="2" t="s">
        <v>31</v>
      </c>
      <c r="J11" s="2"/>
      <c r="K11" s="4">
        <v>26200</v>
      </c>
    </row>
    <row r="12" spans="1:12" ht="14.4">
      <c r="A12" s="2"/>
      <c r="B12" s="2"/>
      <c r="C12" s="2"/>
      <c r="D12" s="2"/>
      <c r="E12" s="2"/>
      <c r="F12" s="2"/>
      <c r="G12" s="2"/>
      <c r="H12" s="2"/>
      <c r="I12" s="2"/>
      <c r="J12" s="2"/>
    </row>
    <row r="13" spans="1:12" ht="14.4">
      <c r="A13" s="2"/>
      <c r="B13" s="2"/>
      <c r="C13" s="2"/>
      <c r="D13" s="2"/>
      <c r="E13" s="2"/>
      <c r="F13" s="2"/>
      <c r="G13" s="2"/>
      <c r="H13" s="2"/>
      <c r="I13" s="2"/>
      <c r="J13" s="2"/>
    </row>
    <row r="14" spans="1:12" ht="14.4">
      <c r="A14" s="2"/>
      <c r="B14" s="2"/>
      <c r="C14" s="2"/>
      <c r="D14" s="2"/>
      <c r="E14" s="2"/>
      <c r="F14" s="2"/>
      <c r="G14" s="2"/>
      <c r="H14" s="2"/>
      <c r="I14" s="2"/>
      <c r="J14" s="2"/>
    </row>
    <row r="15" spans="1:12" ht="21" customHeight="1">
      <c r="A15" s="8" t="s">
        <v>252</v>
      </c>
      <c r="B15" s="2"/>
      <c r="C15" s="2"/>
      <c r="D15" s="2"/>
      <c r="E15" s="2"/>
      <c r="F15" s="2"/>
      <c r="G15" s="2"/>
      <c r="H15" s="2"/>
      <c r="I15" s="2"/>
      <c r="J15" s="2"/>
    </row>
    <row r="16" spans="1:12" ht="14.4">
      <c r="A16" s="2"/>
      <c r="B16" s="2"/>
      <c r="C16" s="2"/>
      <c r="D16" s="2"/>
      <c r="E16" s="2"/>
      <c r="F16" s="2"/>
      <c r="G16" s="2"/>
      <c r="H16" s="2"/>
      <c r="I16" s="2"/>
      <c r="J16" s="2"/>
    </row>
    <row r="17" spans="1:10" ht="30" customHeight="1">
      <c r="A17" s="9" t="s">
        <v>3</v>
      </c>
      <c r="B17" s="9" t="s">
        <v>4</v>
      </c>
      <c r="C17" s="212" t="s">
        <v>92</v>
      </c>
      <c r="D17" s="9" t="s">
        <v>53</v>
      </c>
      <c r="E17" s="9" t="s">
        <v>54</v>
      </c>
      <c r="F17" s="3" t="s">
        <v>55</v>
      </c>
      <c r="G17" s="3" t="s">
        <v>56</v>
      </c>
      <c r="H17" s="3" t="s">
        <v>57</v>
      </c>
      <c r="I17" s="2"/>
      <c r="J17" s="2"/>
    </row>
    <row r="18" spans="1:10" ht="14.4">
      <c r="A18" s="206" t="s">
        <v>15</v>
      </c>
      <c r="B18" s="206" t="s">
        <v>16</v>
      </c>
      <c r="C18" s="207">
        <v>160</v>
      </c>
      <c r="D18" s="208"/>
      <c r="E18" s="208">
        <v>2</v>
      </c>
      <c r="F18" s="209">
        <v>44478</v>
      </c>
      <c r="G18" s="209">
        <v>44483</v>
      </c>
      <c r="H18" s="206"/>
      <c r="I18" s="182"/>
      <c r="J18" s="2"/>
    </row>
    <row r="19" spans="1:10" ht="14.4">
      <c r="A19" s="181" t="s">
        <v>21</v>
      </c>
      <c r="B19" s="181" t="s">
        <v>22</v>
      </c>
      <c r="C19" s="196">
        <v>194</v>
      </c>
      <c r="D19" s="197">
        <v>4</v>
      </c>
      <c r="E19" s="197"/>
      <c r="F19" s="181"/>
      <c r="G19" s="181"/>
      <c r="H19" s="181"/>
      <c r="I19" s="182"/>
      <c r="J19" s="2"/>
    </row>
    <row r="20" spans="1:10" ht="14.4">
      <c r="A20" s="181" t="s">
        <v>27</v>
      </c>
      <c r="B20" s="181" t="s">
        <v>28</v>
      </c>
      <c r="C20" s="196">
        <v>80</v>
      </c>
      <c r="D20" s="197"/>
      <c r="E20" s="197"/>
      <c r="F20" s="211">
        <v>44478</v>
      </c>
      <c r="G20" s="210" t="s">
        <v>267</v>
      </c>
      <c r="H20" s="181"/>
      <c r="I20" s="182"/>
      <c r="J20" s="2"/>
    </row>
    <row r="21" spans="1:10" ht="15.75" customHeight="1">
      <c r="A21" s="181" t="s">
        <v>32</v>
      </c>
      <c r="B21" s="181" t="s">
        <v>33</v>
      </c>
      <c r="C21" s="198"/>
      <c r="D21" s="197"/>
      <c r="E21" s="197">
        <v>1</v>
      </c>
      <c r="F21" s="181"/>
      <c r="G21" s="181"/>
      <c r="H21" s="181"/>
      <c r="I21" s="182"/>
      <c r="J21" s="2"/>
    </row>
    <row r="22" spans="1:10" ht="15.75" customHeight="1">
      <c r="A22" s="182" t="s">
        <v>39</v>
      </c>
      <c r="B22" s="182" t="s">
        <v>40</v>
      </c>
      <c r="C22" s="182"/>
      <c r="D22" s="182">
        <v>6</v>
      </c>
      <c r="E22" s="182"/>
      <c r="F22" s="182"/>
      <c r="G22" s="182"/>
      <c r="H22" s="182"/>
      <c r="I22" s="182"/>
      <c r="J22" s="2"/>
    </row>
    <row r="23" spans="1:10" ht="15.75" customHeight="1">
      <c r="A23" s="168" t="s">
        <v>44</v>
      </c>
      <c r="B23" s="168" t="s">
        <v>45</v>
      </c>
      <c r="C23" s="168"/>
      <c r="D23" s="168"/>
      <c r="E23" s="168">
        <v>3</v>
      </c>
      <c r="F23" s="168"/>
      <c r="G23" s="168"/>
      <c r="H23" s="168"/>
      <c r="I23" s="182"/>
      <c r="J23" s="2"/>
    </row>
    <row r="24" spans="1:10" ht="15.75" customHeight="1">
      <c r="A24" s="2" t="s">
        <v>48</v>
      </c>
      <c r="B24" s="2" t="s">
        <v>49</v>
      </c>
      <c r="C24" s="2"/>
      <c r="D24" s="2"/>
      <c r="E24" s="2">
        <v>2</v>
      </c>
      <c r="F24" s="2"/>
      <c r="G24" s="2"/>
      <c r="H24" s="2"/>
      <c r="I24" s="2"/>
      <c r="J24" s="2"/>
    </row>
    <row r="25" spans="1:10" ht="15.75" customHeight="1">
      <c r="A25" s="2"/>
      <c r="B25" s="2"/>
      <c r="C25" s="2"/>
      <c r="D25" s="2"/>
      <c r="E25" s="2"/>
      <c r="F25" s="2"/>
      <c r="G25" s="2"/>
      <c r="H25" s="2"/>
      <c r="I25" s="2"/>
      <c r="J25" s="2"/>
    </row>
    <row r="26" spans="1:10" ht="15.75" customHeight="1">
      <c r="A26" s="2"/>
      <c r="B26" s="2"/>
      <c r="C26" s="2"/>
      <c r="D26" s="2"/>
      <c r="E26" s="2"/>
      <c r="F26" s="2"/>
      <c r="G26" s="2"/>
      <c r="H26" s="2"/>
      <c r="I26" s="2"/>
      <c r="J26" s="2"/>
    </row>
    <row r="27" spans="1:10" ht="15.75" customHeight="1">
      <c r="A27" s="2" t="s">
        <v>58</v>
      </c>
      <c r="B27" s="2"/>
      <c r="C27" s="2"/>
      <c r="D27" s="2"/>
      <c r="E27" s="2"/>
      <c r="F27" s="2"/>
      <c r="G27" s="2"/>
      <c r="H27" s="2"/>
      <c r="I27" s="2"/>
      <c r="J27" s="2"/>
    </row>
    <row r="28" spans="1:10" ht="15.75" customHeight="1">
      <c r="A28" s="2" t="s">
        <v>59</v>
      </c>
      <c r="B28" s="2"/>
      <c r="C28" s="2"/>
      <c r="D28" s="2"/>
      <c r="E28" s="2"/>
      <c r="F28" s="2"/>
      <c r="G28" s="2"/>
      <c r="H28" s="2"/>
      <c r="I28" s="2"/>
      <c r="J28" s="2"/>
    </row>
    <row r="29" spans="1:10" ht="15.75" customHeight="1">
      <c r="A29" s="2"/>
      <c r="B29" s="2"/>
      <c r="C29" s="2"/>
      <c r="D29" s="2"/>
      <c r="E29" s="2"/>
      <c r="F29" s="2"/>
      <c r="G29" s="2"/>
      <c r="H29" s="2"/>
      <c r="I29" s="2"/>
      <c r="J29" s="2"/>
    </row>
    <row r="30" spans="1:10" ht="15.75" customHeight="1">
      <c r="A30" s="2"/>
      <c r="B30" s="2"/>
      <c r="C30" s="2"/>
      <c r="D30" s="2"/>
      <c r="E30" s="2"/>
      <c r="F30" s="2"/>
      <c r="G30" s="2"/>
      <c r="H30" s="2"/>
      <c r="I30" s="2"/>
      <c r="J30" s="2"/>
    </row>
    <row r="31" spans="1:10" ht="15.75" customHeight="1">
      <c r="A31" s="2" t="s">
        <v>256</v>
      </c>
      <c r="B31" s="2" t="s">
        <v>257</v>
      </c>
      <c r="C31" s="2"/>
      <c r="D31" s="2"/>
      <c r="E31" s="2"/>
      <c r="F31" s="2"/>
      <c r="G31" s="2"/>
      <c r="H31" s="2"/>
      <c r="I31" s="2"/>
      <c r="J31" s="2"/>
    </row>
    <row r="32" spans="1:10" ht="15.75" customHeight="1">
      <c r="A32" s="9" t="s">
        <v>3</v>
      </c>
      <c r="B32" s="9" t="s">
        <v>4</v>
      </c>
      <c r="C32" s="9" t="s">
        <v>255</v>
      </c>
      <c r="D32" s="9" t="s">
        <v>260</v>
      </c>
      <c r="E32" s="9" t="s">
        <v>79</v>
      </c>
      <c r="F32" s="184" t="s">
        <v>261</v>
      </c>
      <c r="G32" s="180"/>
      <c r="H32" s="180"/>
      <c r="I32" s="2"/>
      <c r="J32" s="2"/>
    </row>
    <row r="33" spans="1:10" ht="15.75" customHeight="1">
      <c r="A33" s="167" t="s">
        <v>21</v>
      </c>
      <c r="B33" s="167" t="s">
        <v>22</v>
      </c>
      <c r="C33" s="178">
        <v>24</v>
      </c>
      <c r="D33" s="179">
        <f>J6*8</f>
        <v>1320</v>
      </c>
      <c r="E33" s="179"/>
      <c r="F33" s="185">
        <f>C33*D33</f>
        <v>31680</v>
      </c>
      <c r="G33" s="181"/>
      <c r="H33" s="181"/>
      <c r="I33" s="2"/>
      <c r="J33" s="2"/>
    </row>
    <row r="34" spans="1:10" ht="15.75" customHeight="1">
      <c r="A34" s="168" t="s">
        <v>39</v>
      </c>
      <c r="B34" s="168" t="s">
        <v>40</v>
      </c>
      <c r="C34" s="168">
        <v>24</v>
      </c>
      <c r="D34" s="168"/>
      <c r="E34" s="168">
        <f>K9</f>
        <v>78642</v>
      </c>
      <c r="F34" s="168">
        <f>E34</f>
        <v>78642</v>
      </c>
      <c r="G34" s="182"/>
      <c r="H34" s="182"/>
    </row>
    <row r="35" spans="1:10" ht="15.75" customHeight="1">
      <c r="G35" s="183"/>
      <c r="H35" s="183"/>
    </row>
    <row r="36" spans="1:10" ht="15.75" customHeight="1">
      <c r="A36" t="s">
        <v>258</v>
      </c>
      <c r="B36" t="s">
        <v>259</v>
      </c>
      <c r="G36" s="183"/>
      <c r="H36" s="183"/>
    </row>
    <row r="37" spans="1:10" ht="15.75" customHeight="1">
      <c r="A37" s="9" t="s">
        <v>3</v>
      </c>
      <c r="B37" s="9" t="s">
        <v>4</v>
      </c>
      <c r="C37" s="9" t="s">
        <v>255</v>
      </c>
      <c r="D37" s="9" t="s">
        <v>260</v>
      </c>
      <c r="E37" s="9" t="s">
        <v>79</v>
      </c>
      <c r="F37" s="3" t="s">
        <v>262</v>
      </c>
      <c r="G37" s="180"/>
      <c r="H37" s="180"/>
    </row>
    <row r="38" spans="1:10" ht="15.75" customHeight="1">
      <c r="A38" s="167" t="s">
        <v>21</v>
      </c>
      <c r="B38" s="167" t="s">
        <v>22</v>
      </c>
      <c r="C38" s="178">
        <v>27</v>
      </c>
      <c r="D38" s="179">
        <f>D33</f>
        <v>1320</v>
      </c>
      <c r="E38" s="179"/>
      <c r="F38" s="185">
        <f>C38*D38</f>
        <v>35640</v>
      </c>
      <c r="G38" s="181"/>
      <c r="H38" s="181"/>
    </row>
    <row r="39" spans="1:10" ht="15.75" customHeight="1">
      <c r="A39" s="168" t="s">
        <v>39</v>
      </c>
      <c r="B39" s="168" t="s">
        <v>40</v>
      </c>
      <c r="C39" s="168">
        <v>27</v>
      </c>
      <c r="D39" s="168"/>
      <c r="E39" s="168">
        <f>E34</f>
        <v>78642</v>
      </c>
      <c r="F39" s="168">
        <f>E39</f>
        <v>78642</v>
      </c>
      <c r="G39" s="182"/>
      <c r="H39" s="182"/>
    </row>
    <row r="40" spans="1:10" ht="15.75" customHeight="1"/>
    <row r="41" spans="1:10" ht="15.75" customHeight="1"/>
    <row r="42" spans="1:10" ht="15.75" customHeight="1"/>
    <row r="43" spans="1:10" ht="15.75" customHeight="1"/>
    <row r="44" spans="1:10" ht="15.75" customHeight="1"/>
    <row r="45" spans="1:10" ht="15.75" customHeight="1"/>
    <row r="46" spans="1:10" ht="15.75" customHeight="1"/>
    <row r="47" spans="1:10" ht="15.75" customHeight="1"/>
    <row r="48" spans="1:10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</sheetData>
  <pageMargins left="0.7" right="0.7" top="0.75" bottom="0.75" header="0" footer="0"/>
  <pageSetup orientation="landscape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J1000"/>
  <sheetViews>
    <sheetView topLeftCell="A49" zoomScale="102" zoomScaleNormal="102" workbookViewId="0">
      <selection activeCell="B56" sqref="B56"/>
    </sheetView>
  </sheetViews>
  <sheetFormatPr baseColWidth="10" defaultColWidth="14.44140625" defaultRowHeight="15" customHeight="1"/>
  <cols>
    <col min="1" max="1" width="10.6640625" customWidth="1"/>
    <col min="2" max="2" width="23.33203125" customWidth="1"/>
    <col min="3" max="3" width="32.109375" customWidth="1"/>
    <col min="4" max="4" width="17.6640625" customWidth="1"/>
    <col min="5" max="5" width="2.5546875" customWidth="1"/>
    <col min="6" max="6" width="32.33203125" customWidth="1"/>
    <col min="7" max="7" width="17.5546875" customWidth="1"/>
    <col min="8" max="8" width="17.6640625" customWidth="1"/>
    <col min="9" max="26" width="17.33203125" customWidth="1"/>
  </cols>
  <sheetData>
    <row r="1" spans="1:8" ht="36" customHeight="1">
      <c r="A1" s="10" t="s">
        <v>60</v>
      </c>
      <c r="C1" s="2"/>
      <c r="D1" s="2"/>
      <c r="E1" s="2"/>
      <c r="F1" s="2"/>
      <c r="G1" s="2"/>
      <c r="H1" s="2"/>
    </row>
    <row r="2" spans="1:8" ht="15.75" customHeight="1">
      <c r="C2" s="2"/>
      <c r="D2" s="2"/>
      <c r="E2" s="2"/>
      <c r="F2" s="2"/>
      <c r="G2" s="2"/>
      <c r="H2" s="2"/>
    </row>
    <row r="3" spans="1:8" ht="23.25" customHeight="1">
      <c r="B3" s="11" t="s">
        <v>61</v>
      </c>
      <c r="C3" s="12"/>
      <c r="D3" s="12"/>
      <c r="E3" s="12"/>
      <c r="F3" s="12"/>
      <c r="G3" s="12"/>
      <c r="H3" s="13" t="s">
        <v>62</v>
      </c>
    </row>
    <row r="4" spans="1:8" ht="15.75" customHeight="1">
      <c r="B4" s="14" t="s">
        <v>63</v>
      </c>
      <c r="C4" s="2"/>
      <c r="D4" s="2"/>
      <c r="E4" s="2"/>
      <c r="F4" s="2"/>
      <c r="G4" s="2"/>
      <c r="H4" s="15" t="s">
        <v>64</v>
      </c>
    </row>
    <row r="5" spans="1:8" ht="15.75" customHeight="1">
      <c r="B5" s="14" t="s">
        <v>65</v>
      </c>
      <c r="C5" s="2"/>
      <c r="D5" s="2"/>
      <c r="E5" s="2"/>
      <c r="F5" s="2"/>
      <c r="G5" s="2"/>
      <c r="H5" s="15" t="s">
        <v>66</v>
      </c>
    </row>
    <row r="6" spans="1:8" ht="15.75" customHeight="1">
      <c r="A6" s="7"/>
      <c r="B6" s="16" t="s">
        <v>67</v>
      </c>
      <c r="C6" s="17"/>
      <c r="D6" s="17"/>
      <c r="E6" s="17"/>
      <c r="F6" s="17"/>
      <c r="G6" s="17"/>
      <c r="H6" s="18" t="s">
        <v>68</v>
      </c>
    </row>
    <row r="7" spans="1:8" ht="15.75" customHeight="1">
      <c r="B7" s="19" t="s">
        <v>69</v>
      </c>
      <c r="C7" s="213" t="s">
        <v>264</v>
      </c>
      <c r="D7" s="2" t="s">
        <v>47</v>
      </c>
      <c r="E7" s="2"/>
      <c r="F7" s="21"/>
      <c r="G7" s="21"/>
      <c r="H7" s="22" t="s">
        <v>265</v>
      </c>
    </row>
    <row r="8" spans="1:8" ht="15.75" customHeight="1">
      <c r="B8" s="14" t="str">
        <f>Planillas!C5</f>
        <v>3887870-3</v>
      </c>
      <c r="C8" s="23" t="s">
        <v>71</v>
      </c>
      <c r="D8" s="24">
        <f>Planillas!D10</f>
        <v>41988</v>
      </c>
      <c r="E8" s="2"/>
      <c r="F8" s="5"/>
      <c r="G8" s="2"/>
      <c r="H8" s="15" t="s">
        <v>263</v>
      </c>
    </row>
    <row r="9" spans="1:8" ht="23.25" customHeight="1">
      <c r="B9" s="25"/>
      <c r="C9" s="17"/>
      <c r="D9" s="17"/>
      <c r="E9" s="17"/>
      <c r="F9" s="17"/>
      <c r="G9" s="17"/>
      <c r="H9" s="18" t="s">
        <v>73</v>
      </c>
    </row>
    <row r="10" spans="1:8" ht="6.75" customHeight="1">
      <c r="B10" s="26"/>
      <c r="C10" s="27"/>
      <c r="D10" s="28"/>
      <c r="E10" s="29"/>
      <c r="F10" s="30"/>
      <c r="G10" s="27"/>
      <c r="H10" s="31"/>
    </row>
    <row r="11" spans="1:8" ht="16.5" customHeight="1">
      <c r="B11" s="32"/>
      <c r="C11" s="33" t="s">
        <v>74</v>
      </c>
      <c r="D11" s="34"/>
      <c r="E11" s="35"/>
      <c r="F11" s="36" t="s">
        <v>75</v>
      </c>
      <c r="G11" s="37"/>
      <c r="H11" s="38"/>
    </row>
    <row r="12" spans="1:8" ht="15.75" customHeight="1">
      <c r="B12" s="39" t="s">
        <v>76</v>
      </c>
      <c r="C12" s="40" t="s">
        <v>77</v>
      </c>
      <c r="D12" s="41" t="s">
        <v>78</v>
      </c>
      <c r="E12" s="35"/>
      <c r="F12" s="42"/>
      <c r="G12" s="40" t="s">
        <v>77</v>
      </c>
      <c r="H12" s="41" t="s">
        <v>78</v>
      </c>
    </row>
    <row r="13" spans="1:8" ht="14.4">
      <c r="B13" s="43"/>
      <c r="C13" s="44" t="s">
        <v>79</v>
      </c>
      <c r="D13" s="45">
        <f>Planillas!K10</f>
        <v>38512</v>
      </c>
      <c r="E13" s="35"/>
      <c r="F13" s="46">
        <v>0.15</v>
      </c>
      <c r="G13" s="44" t="s">
        <v>80</v>
      </c>
      <c r="H13" s="200">
        <f>(D$13+D$14)*0.15</f>
        <v>5199.12</v>
      </c>
    </row>
    <row r="14" spans="1:8" ht="14.4">
      <c r="B14" s="48">
        <v>3</v>
      </c>
      <c r="C14" s="44" t="s">
        <v>81</v>
      </c>
      <c r="D14" s="199">
        <f>B14*D13/-30</f>
        <v>-3851.2</v>
      </c>
      <c r="E14" s="35"/>
      <c r="F14" s="46" t="s">
        <v>82</v>
      </c>
      <c r="G14" s="44" t="s">
        <v>83</v>
      </c>
      <c r="H14" s="200">
        <f>(D$13+D$14)*0.045</f>
        <v>1559.7360000000001</v>
      </c>
    </row>
    <row r="15" spans="1:8" ht="14.4">
      <c r="B15" s="43"/>
      <c r="C15" s="203" t="s">
        <v>266</v>
      </c>
      <c r="D15" s="49">
        <f>Planillas!L10</f>
        <v>10500</v>
      </c>
      <c r="E15" s="35"/>
      <c r="F15" s="50">
        <v>0.01</v>
      </c>
      <c r="G15" s="44" t="s">
        <v>85</v>
      </c>
      <c r="H15" s="200">
        <f>(D$13+D$14)*0.001</f>
        <v>34.660800000000002</v>
      </c>
    </row>
    <row r="16" spans="1:8" ht="14.4">
      <c r="B16" s="43"/>
      <c r="C16" s="44"/>
      <c r="D16" s="49"/>
      <c r="E16" s="35"/>
      <c r="F16" s="51"/>
      <c r="G16" s="44" t="s">
        <v>87</v>
      </c>
      <c r="H16" s="200"/>
    </row>
    <row r="17" spans="2:10" ht="14.4">
      <c r="B17" s="43"/>
      <c r="C17" s="44"/>
      <c r="D17" s="45"/>
      <c r="E17" s="35"/>
      <c r="F17" s="51"/>
      <c r="G17" s="44" t="s">
        <v>89</v>
      </c>
      <c r="H17" s="200"/>
    </row>
    <row r="18" spans="2:10" ht="14.4">
      <c r="B18" s="43"/>
      <c r="C18" s="23"/>
      <c r="D18" s="49"/>
      <c r="E18" s="35"/>
      <c r="F18" s="50"/>
      <c r="G18" s="44"/>
      <c r="H18" s="200"/>
    </row>
    <row r="19" spans="2:10" ht="14.4">
      <c r="B19" s="48"/>
      <c r="C19" s="23"/>
      <c r="D19" s="49"/>
      <c r="E19" s="35"/>
      <c r="F19" s="53"/>
      <c r="G19" s="44"/>
      <c r="H19" s="200"/>
    </row>
    <row r="20" spans="2:10" ht="14.4">
      <c r="B20" s="48"/>
      <c r="C20" s="7"/>
      <c r="D20" s="45"/>
      <c r="E20" s="35"/>
      <c r="F20" s="52"/>
      <c r="G20" s="2"/>
      <c r="H20" s="201"/>
    </row>
    <row r="21" spans="2:10" ht="15.75" customHeight="1">
      <c r="B21" s="48"/>
      <c r="D21" s="45"/>
      <c r="E21" s="35"/>
      <c r="F21" s="53"/>
      <c r="G21" s="44"/>
      <c r="H21" s="200"/>
    </row>
    <row r="22" spans="2:10" ht="15.75" customHeight="1">
      <c r="B22" s="43"/>
      <c r="C22" s="44" t="s">
        <v>95</v>
      </c>
      <c r="D22" s="49"/>
      <c r="E22" s="35"/>
      <c r="F22" s="53"/>
      <c r="G22" s="2"/>
      <c r="H22" s="200"/>
    </row>
    <row r="23" spans="2:10" ht="15.75" customHeight="1">
      <c r="B23" s="43"/>
      <c r="C23" s="44" t="s">
        <v>96</v>
      </c>
      <c r="D23" s="49"/>
      <c r="E23" s="35"/>
      <c r="F23" s="53"/>
      <c r="G23" s="2"/>
      <c r="H23" s="200"/>
    </row>
    <row r="24" spans="2:10" ht="15.75" customHeight="1">
      <c r="B24" s="55"/>
      <c r="C24" s="56" t="s">
        <v>97</v>
      </c>
      <c r="D24" s="57">
        <f>SUM(D13:D20)</f>
        <v>45160.800000000003</v>
      </c>
      <c r="E24" s="35"/>
      <c r="F24" s="58" t="s">
        <v>98</v>
      </c>
      <c r="G24" s="17"/>
      <c r="H24" s="202">
        <f>SUM(H13:H21)</f>
        <v>6793.5167999999994</v>
      </c>
    </row>
    <row r="25" spans="2:10" ht="9" customHeight="1">
      <c r="B25" s="60"/>
      <c r="C25" s="35"/>
      <c r="D25" s="35"/>
      <c r="E25" s="2"/>
      <c r="F25" s="35"/>
      <c r="G25" s="35"/>
      <c r="H25" s="61"/>
    </row>
    <row r="26" spans="2:10" ht="15.75" customHeight="1">
      <c r="B26" s="60"/>
      <c r="C26" s="35"/>
      <c r="D26" s="35"/>
      <c r="E26" s="2"/>
      <c r="F26" s="62" t="s">
        <v>99</v>
      </c>
      <c r="G26" s="63"/>
      <c r="H26" s="186">
        <f>D24-H24</f>
        <v>38367.283200000005</v>
      </c>
    </row>
    <row r="27" spans="2:10" ht="6.75" customHeight="1">
      <c r="B27" s="60"/>
      <c r="C27" s="35"/>
      <c r="D27" s="35"/>
      <c r="E27" s="2"/>
      <c r="F27" s="35"/>
      <c r="G27" s="35"/>
      <c r="H27" s="61"/>
    </row>
    <row r="28" spans="2:10" ht="6.75" customHeight="1">
      <c r="B28" s="60"/>
      <c r="C28" s="170" t="s">
        <v>100</v>
      </c>
      <c r="D28" s="171"/>
      <c r="E28" s="35"/>
      <c r="F28" s="170" t="s">
        <v>101</v>
      </c>
      <c r="G28" s="171"/>
      <c r="H28" s="61"/>
    </row>
    <row r="29" spans="2:10" ht="15.75" customHeight="1">
      <c r="B29" s="60"/>
      <c r="C29" s="172"/>
      <c r="D29" s="173"/>
      <c r="E29" s="35"/>
      <c r="F29" s="172"/>
      <c r="G29" s="173"/>
      <c r="H29" s="61"/>
    </row>
    <row r="30" spans="2:10" ht="15.75" customHeight="1">
      <c r="B30" s="60"/>
      <c r="C30" s="172"/>
      <c r="D30" s="173"/>
      <c r="E30" s="35"/>
      <c r="F30" s="172"/>
      <c r="G30" s="173"/>
      <c r="H30" s="61"/>
      <c r="J30">
        <f>33510-31808</f>
        <v>1702</v>
      </c>
    </row>
    <row r="31" spans="2:10" ht="15.75" customHeight="1">
      <c r="B31" s="60"/>
      <c r="C31" s="174"/>
      <c r="D31" s="175"/>
      <c r="E31" s="35"/>
      <c r="F31" s="174"/>
      <c r="G31" s="175"/>
      <c r="H31" s="61"/>
      <c r="J31">
        <f>10000-1702</f>
        <v>8298</v>
      </c>
    </row>
    <row r="32" spans="2:10" ht="15.75" customHeight="1">
      <c r="B32" s="60"/>
      <c r="C32" s="35"/>
      <c r="D32" s="35"/>
      <c r="E32" s="35"/>
      <c r="F32" s="35"/>
      <c r="G32" s="35"/>
      <c r="H32" s="61"/>
    </row>
    <row r="33" spans="2:8" ht="6" customHeight="1">
      <c r="B33" s="43"/>
      <c r="C33" s="2"/>
      <c r="D33" s="2"/>
      <c r="E33" s="2"/>
      <c r="F33" s="2"/>
      <c r="G33" s="2"/>
      <c r="H33" s="47"/>
    </row>
    <row r="34" spans="2:8" ht="18" customHeight="1">
      <c r="B34" s="43"/>
      <c r="C34" s="23" t="s">
        <v>102</v>
      </c>
      <c r="D34" s="2"/>
      <c r="E34" s="65" t="s">
        <v>103</v>
      </c>
      <c r="F34" s="2"/>
      <c r="G34" s="2"/>
      <c r="H34" s="47"/>
    </row>
    <row r="35" spans="2:8" ht="15.75" customHeight="1">
      <c r="B35" s="66"/>
      <c r="C35" s="67"/>
      <c r="D35" s="67"/>
      <c r="E35" s="67"/>
      <c r="F35" s="67"/>
      <c r="G35" s="67"/>
      <c r="H35" s="68"/>
    </row>
    <row r="36" spans="2:8" ht="15.75" customHeight="1"/>
    <row r="37" spans="2:8" ht="15.75" customHeight="1"/>
    <row r="38" spans="2:8" ht="15.75" customHeight="1"/>
    <row r="39" spans="2:8" ht="15.75" customHeight="1"/>
    <row r="40" spans="2:8" ht="15.75" customHeight="1"/>
    <row r="41" spans="2:8" ht="15.75" customHeight="1" thickBot="1"/>
    <row r="42" spans="2:8" ht="15.75" customHeight="1">
      <c r="B42" s="222" t="s">
        <v>61</v>
      </c>
      <c r="C42" s="223"/>
      <c r="D42" s="223"/>
      <c r="E42" s="223"/>
      <c r="F42" s="223"/>
      <c r="G42" s="223"/>
      <c r="H42" s="224" t="s">
        <v>62</v>
      </c>
    </row>
    <row r="43" spans="2:8" ht="15.75" customHeight="1">
      <c r="B43" s="225" t="s">
        <v>63</v>
      </c>
      <c r="C43" s="226"/>
      <c r="D43" s="226"/>
      <c r="E43" s="226"/>
      <c r="F43" s="226"/>
      <c r="G43" s="226"/>
      <c r="H43" s="227" t="s">
        <v>64</v>
      </c>
    </row>
    <row r="44" spans="2:8" ht="15.75" customHeight="1">
      <c r="B44" s="225" t="s">
        <v>65</v>
      </c>
      <c r="C44" s="226"/>
      <c r="D44" s="226"/>
      <c r="E44" s="226"/>
      <c r="F44" s="226"/>
      <c r="G44" s="226"/>
      <c r="H44" s="227" t="s">
        <v>66</v>
      </c>
    </row>
    <row r="45" spans="2:8" ht="15.75" customHeight="1">
      <c r="B45" s="228" t="s">
        <v>67</v>
      </c>
      <c r="C45" s="17"/>
      <c r="D45" s="17"/>
      <c r="E45" s="17"/>
      <c r="F45" s="17"/>
      <c r="G45" s="17"/>
      <c r="H45" s="229" t="s">
        <v>68</v>
      </c>
    </row>
    <row r="46" spans="2:8" ht="15.75" customHeight="1">
      <c r="B46" s="230" t="s">
        <v>69</v>
      </c>
      <c r="C46" s="214" t="s">
        <v>268</v>
      </c>
      <c r="D46" s="231" t="s">
        <v>18</v>
      </c>
      <c r="E46" s="226"/>
      <c r="F46" s="21"/>
      <c r="G46" s="21"/>
      <c r="H46" s="232" t="s">
        <v>70</v>
      </c>
    </row>
    <row r="47" spans="2:8" ht="15.75" customHeight="1">
      <c r="B47" s="225" t="str">
        <f>Planillas!C5</f>
        <v>3887870-3</v>
      </c>
      <c r="C47" s="233" t="s">
        <v>71</v>
      </c>
      <c r="D47" s="234">
        <f>Planillas!D5</f>
        <v>42350</v>
      </c>
      <c r="E47" s="226"/>
      <c r="F47" s="235"/>
      <c r="G47" s="226"/>
      <c r="H47" s="227" t="s">
        <v>263</v>
      </c>
    </row>
    <row r="48" spans="2:8" ht="15.75" customHeight="1">
      <c r="B48" s="236"/>
      <c r="C48" s="17"/>
      <c r="D48" s="17"/>
      <c r="E48" s="17"/>
      <c r="F48" s="17"/>
      <c r="G48" s="17"/>
      <c r="H48" s="229" t="s">
        <v>73</v>
      </c>
    </row>
    <row r="49" spans="2:8" ht="15.75" customHeight="1">
      <c r="B49" s="237"/>
      <c r="C49" s="238"/>
      <c r="D49" s="28"/>
      <c r="E49" s="29"/>
      <c r="F49" s="30"/>
      <c r="G49" s="238"/>
      <c r="H49" s="239"/>
    </row>
    <row r="50" spans="2:8" ht="15.75" customHeight="1" thickBot="1">
      <c r="B50" s="240"/>
      <c r="C50" s="33" t="s">
        <v>74</v>
      </c>
      <c r="D50" s="34"/>
      <c r="E50" s="35"/>
      <c r="F50" s="36" t="s">
        <v>75</v>
      </c>
      <c r="G50" s="37"/>
      <c r="H50" s="241"/>
    </row>
    <row r="51" spans="2:8" ht="15.75" customHeight="1" thickTop="1">
      <c r="B51" s="242" t="s">
        <v>76</v>
      </c>
      <c r="C51" s="40" t="s">
        <v>77</v>
      </c>
      <c r="D51" s="41" t="s">
        <v>78</v>
      </c>
      <c r="E51" s="35"/>
      <c r="F51" s="42"/>
      <c r="G51" s="40" t="s">
        <v>77</v>
      </c>
      <c r="H51" s="243" t="s">
        <v>78</v>
      </c>
    </row>
    <row r="52" spans="2:8" ht="15.75" customHeight="1">
      <c r="B52" s="215"/>
      <c r="C52" s="244" t="s">
        <v>79</v>
      </c>
      <c r="D52" s="216">
        <f>B56*B57</f>
        <v>22720</v>
      </c>
      <c r="E52" s="35"/>
      <c r="F52" s="46">
        <v>0.15</v>
      </c>
      <c r="G52" s="245" t="s">
        <v>80</v>
      </c>
      <c r="H52" s="246">
        <f>(D$13+D$14)*0.15</f>
        <v>5199.12</v>
      </c>
    </row>
    <row r="53" spans="2:8" ht="15.75" customHeight="1">
      <c r="B53" s="247"/>
      <c r="C53" s="244"/>
      <c r="D53" s="217"/>
      <c r="E53" s="35"/>
      <c r="F53" s="46" t="s">
        <v>82</v>
      </c>
      <c r="G53" s="245" t="s">
        <v>83</v>
      </c>
      <c r="H53" s="246">
        <f>(D$13+D$14)*0.045</f>
        <v>1559.7360000000001</v>
      </c>
    </row>
    <row r="54" spans="2:8" ht="15.75" customHeight="1">
      <c r="B54" s="215"/>
      <c r="C54" s="244"/>
      <c r="D54" s="218"/>
      <c r="E54" s="35"/>
      <c r="F54" s="50">
        <v>0.01</v>
      </c>
      <c r="G54" s="245" t="s">
        <v>85</v>
      </c>
      <c r="H54" s="246">
        <f>(D$13+D$14)*0.001</f>
        <v>34.660800000000002</v>
      </c>
    </row>
    <row r="55" spans="2:8" ht="15.75" customHeight="1">
      <c r="B55" s="215"/>
      <c r="C55" s="245"/>
      <c r="D55" s="49"/>
      <c r="E55" s="35"/>
      <c r="F55" s="51"/>
      <c r="G55" s="245" t="s">
        <v>87</v>
      </c>
      <c r="H55" s="246"/>
    </row>
    <row r="56" spans="2:8" ht="15.75" customHeight="1">
      <c r="B56" s="219">
        <f>Planillas!J5*8</f>
        <v>1136</v>
      </c>
      <c r="C56" s="220" t="s">
        <v>260</v>
      </c>
      <c r="D56" s="45"/>
      <c r="E56" s="35"/>
      <c r="F56" s="51"/>
      <c r="G56" s="245" t="s">
        <v>89</v>
      </c>
      <c r="H56" s="246"/>
    </row>
    <row r="57" spans="2:8" ht="15.75" customHeight="1">
      <c r="B57" s="219">
        <f>Planillas!C18/8</f>
        <v>20</v>
      </c>
      <c r="C57" s="220" t="s">
        <v>269</v>
      </c>
      <c r="D57" s="49"/>
      <c r="E57" s="35"/>
      <c r="F57" s="50"/>
      <c r="G57" s="245"/>
      <c r="H57" s="246"/>
    </row>
    <row r="58" spans="2:8" ht="15.75" customHeight="1">
      <c r="B58" s="248"/>
      <c r="C58" s="221"/>
      <c r="D58" s="49"/>
      <c r="E58" s="35"/>
      <c r="F58" s="53"/>
      <c r="G58" s="245"/>
      <c r="H58" s="246"/>
    </row>
    <row r="59" spans="2:8" ht="15.75" customHeight="1">
      <c r="B59" s="247"/>
      <c r="C59" s="249"/>
      <c r="D59" s="45"/>
      <c r="E59" s="35"/>
      <c r="F59" s="52"/>
      <c r="G59" s="226"/>
      <c r="H59" s="250"/>
    </row>
    <row r="60" spans="2:8" ht="15.75" customHeight="1">
      <c r="B60" s="247"/>
      <c r="C60" s="251"/>
      <c r="D60" s="45"/>
      <c r="E60" s="35"/>
      <c r="F60" s="53"/>
      <c r="G60" s="245"/>
      <c r="H60" s="246"/>
    </row>
    <row r="61" spans="2:8" ht="15.75" customHeight="1">
      <c r="B61" s="215"/>
      <c r="C61" s="245" t="s">
        <v>95</v>
      </c>
      <c r="D61" s="49"/>
      <c r="E61" s="35"/>
      <c r="F61" s="53"/>
      <c r="G61" s="226"/>
      <c r="H61" s="246"/>
    </row>
    <row r="62" spans="2:8" ht="15.75" customHeight="1">
      <c r="B62" s="215"/>
      <c r="C62" s="245" t="s">
        <v>96</v>
      </c>
      <c r="D62" s="49"/>
      <c r="E62" s="35"/>
      <c r="F62" s="53"/>
      <c r="G62" s="226"/>
      <c r="H62" s="246"/>
    </row>
    <row r="63" spans="2:8" ht="15.75" customHeight="1">
      <c r="B63" s="252"/>
      <c r="C63" s="56" t="s">
        <v>97</v>
      </c>
      <c r="D63" s="57">
        <f>SUM(D52:D59)</f>
        <v>22720</v>
      </c>
      <c r="E63" s="35"/>
      <c r="F63" s="58" t="s">
        <v>98</v>
      </c>
      <c r="G63" s="17"/>
      <c r="H63" s="253">
        <f>SUM(H52:H60)</f>
        <v>6793.5167999999994</v>
      </c>
    </row>
    <row r="64" spans="2:8" ht="15.75" customHeight="1">
      <c r="B64" s="254"/>
      <c r="C64" s="35"/>
      <c r="D64" s="35"/>
      <c r="E64" s="226"/>
      <c r="F64" s="35"/>
      <c r="G64" s="35"/>
      <c r="H64" s="255"/>
    </row>
    <row r="65" spans="2:8" ht="15.75" customHeight="1">
      <c r="B65" s="254"/>
      <c r="C65" s="35"/>
      <c r="D65" s="35"/>
      <c r="E65" s="226"/>
      <c r="F65" s="256" t="s">
        <v>99</v>
      </c>
      <c r="G65" s="257"/>
      <c r="H65" s="258">
        <f>D63-H63</f>
        <v>15926.483200000001</v>
      </c>
    </row>
    <row r="66" spans="2:8" ht="15.75" customHeight="1">
      <c r="B66" s="254"/>
      <c r="C66" s="35"/>
      <c r="D66" s="35"/>
      <c r="E66" s="226"/>
      <c r="F66" s="35"/>
      <c r="G66" s="35"/>
      <c r="H66" s="255"/>
    </row>
    <row r="67" spans="2:8" ht="15.75" customHeight="1">
      <c r="B67" s="254"/>
      <c r="C67" s="170" t="s">
        <v>100</v>
      </c>
      <c r="D67" s="171"/>
      <c r="E67" s="35"/>
      <c r="F67" s="170" t="s">
        <v>101</v>
      </c>
      <c r="G67" s="171"/>
      <c r="H67" s="255"/>
    </row>
    <row r="68" spans="2:8" ht="15.75" customHeight="1">
      <c r="B68" s="254"/>
      <c r="C68" s="172"/>
      <c r="D68" s="173"/>
      <c r="E68" s="35"/>
      <c r="F68" s="172"/>
      <c r="G68" s="173"/>
      <c r="H68" s="255"/>
    </row>
    <row r="69" spans="2:8" ht="15.75" customHeight="1">
      <c r="B69" s="254"/>
      <c r="C69" s="172"/>
      <c r="D69" s="173"/>
      <c r="E69" s="35"/>
      <c r="F69" s="172"/>
      <c r="G69" s="173"/>
      <c r="H69" s="255"/>
    </row>
    <row r="70" spans="2:8" ht="15.75" customHeight="1">
      <c r="B70" s="254"/>
      <c r="C70" s="174"/>
      <c r="D70" s="175"/>
      <c r="E70" s="35"/>
      <c r="F70" s="174"/>
      <c r="G70" s="175"/>
      <c r="H70" s="255"/>
    </row>
    <row r="71" spans="2:8" ht="15.75" customHeight="1">
      <c r="B71" s="254"/>
      <c r="C71" s="35"/>
      <c r="D71" s="35"/>
      <c r="E71" s="35"/>
      <c r="F71" s="35"/>
      <c r="G71" s="35"/>
      <c r="H71" s="255"/>
    </row>
    <row r="72" spans="2:8" ht="15.75" customHeight="1">
      <c r="B72" s="215"/>
      <c r="C72" s="226"/>
      <c r="D72" s="226"/>
      <c r="E72" s="226"/>
      <c r="F72" s="226"/>
      <c r="G72" s="226"/>
      <c r="H72" s="259"/>
    </row>
    <row r="73" spans="2:8" ht="15.75" customHeight="1">
      <c r="B73" s="215"/>
      <c r="C73" s="233" t="s">
        <v>102</v>
      </c>
      <c r="D73" s="226"/>
      <c r="E73" s="260" t="s">
        <v>103</v>
      </c>
      <c r="F73" s="226"/>
      <c r="G73" s="226"/>
      <c r="H73" s="259"/>
    </row>
    <row r="74" spans="2:8" ht="15.75" customHeight="1" thickBot="1">
      <c r="B74" s="261"/>
      <c r="C74" s="262"/>
      <c r="D74" s="262"/>
      <c r="E74" s="262"/>
      <c r="F74" s="262"/>
      <c r="G74" s="262"/>
      <c r="H74" s="263"/>
    </row>
    <row r="75" spans="2:8" ht="15.75" customHeight="1"/>
    <row r="76" spans="2:8" ht="15.75" customHeight="1"/>
    <row r="77" spans="2:8" ht="15.75" customHeight="1"/>
    <row r="78" spans="2:8" ht="15.75" customHeight="1"/>
    <row r="79" spans="2:8" ht="15.75" customHeight="1"/>
    <row r="80" spans="2:8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4">
    <mergeCell ref="C28:D31"/>
    <mergeCell ref="F28:G31"/>
    <mergeCell ref="C67:D70"/>
    <mergeCell ref="F67:G70"/>
  </mergeCells>
  <pageMargins left="0.7" right="0.7" top="0.75" bottom="0.75" header="0" footer="0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B45745-5B3B-4B40-8C10-503235914D60}">
  <dimension ref="C2:I35"/>
  <sheetViews>
    <sheetView topLeftCell="A4" workbookViewId="0">
      <selection activeCell="L26" sqref="L26"/>
    </sheetView>
  </sheetViews>
  <sheetFormatPr baseColWidth="10" defaultRowHeight="14.4"/>
  <cols>
    <col min="3" max="3" width="12.109375" bestFit="1" customWidth="1"/>
    <col min="4" max="4" width="21.6640625" bestFit="1" customWidth="1"/>
    <col min="5" max="5" width="11.77734375" customWidth="1"/>
    <col min="6" max="6" width="7.21875" customWidth="1"/>
    <col min="8" max="8" width="17.109375" bestFit="1" customWidth="1"/>
  </cols>
  <sheetData>
    <row r="2" spans="3:9" ht="15" thickBot="1"/>
    <row r="3" spans="3:9" ht="22.8">
      <c r="C3" s="11" t="s">
        <v>61</v>
      </c>
      <c r="D3" s="12"/>
      <c r="E3" s="12"/>
      <c r="F3" s="12"/>
      <c r="G3" s="12"/>
      <c r="H3" s="12"/>
      <c r="I3" s="13" t="s">
        <v>62</v>
      </c>
    </row>
    <row r="4" spans="3:9" ht="15.6">
      <c r="C4" s="14" t="s">
        <v>63</v>
      </c>
      <c r="D4" s="2"/>
      <c r="E4" s="2"/>
      <c r="F4" s="2"/>
      <c r="G4" s="2"/>
      <c r="H4" s="2"/>
      <c r="I4" s="15" t="s">
        <v>64</v>
      </c>
    </row>
    <row r="5" spans="3:9" ht="15.6">
      <c r="C5" s="14" t="s">
        <v>65</v>
      </c>
      <c r="D5" s="2"/>
      <c r="E5" s="2"/>
      <c r="F5" s="2"/>
      <c r="G5" s="2"/>
      <c r="H5" s="2"/>
      <c r="I5" s="15" t="s">
        <v>66</v>
      </c>
    </row>
    <row r="6" spans="3:9" ht="15.6">
      <c r="C6" s="16" t="s">
        <v>67</v>
      </c>
      <c r="D6" s="17"/>
      <c r="E6" s="17"/>
      <c r="F6" s="17"/>
      <c r="G6" s="17"/>
      <c r="H6" s="17"/>
      <c r="I6" s="18" t="s">
        <v>68</v>
      </c>
    </row>
    <row r="7" spans="3:9" ht="15.6">
      <c r="C7" s="19" t="s">
        <v>69</v>
      </c>
      <c r="D7" s="20" t="str">
        <f>Planillas!C5</f>
        <v>3887870-3</v>
      </c>
      <c r="E7" s="2" t="s">
        <v>107</v>
      </c>
      <c r="F7" s="2"/>
      <c r="G7" s="21"/>
      <c r="H7" s="21"/>
      <c r="I7" s="22" t="s">
        <v>70</v>
      </c>
    </row>
    <row r="8" spans="3:9" ht="30.6" customHeight="1">
      <c r="C8" s="162">
        <f>Planillas!D5</f>
        <v>42350</v>
      </c>
      <c r="D8" s="23" t="s">
        <v>71</v>
      </c>
      <c r="E8" s="176" t="str">
        <f>Planillas!E5</f>
        <v>Operario General</v>
      </c>
      <c r="F8" s="2"/>
      <c r="G8" s="5"/>
      <c r="H8" s="2"/>
      <c r="I8" s="15" t="s">
        <v>253</v>
      </c>
    </row>
    <row r="9" spans="3:9" ht="22.8">
      <c r="C9" s="25"/>
      <c r="D9" s="17"/>
      <c r="E9" s="177"/>
      <c r="F9" s="17"/>
      <c r="G9" s="17"/>
      <c r="H9" s="17"/>
      <c r="I9" s="18" t="s">
        <v>73</v>
      </c>
    </row>
    <row r="10" spans="3:9" ht="22.8">
      <c r="C10" s="26"/>
      <c r="D10" s="27"/>
      <c r="E10" s="28"/>
      <c r="F10" s="29"/>
      <c r="G10" s="30"/>
      <c r="H10" s="27"/>
      <c r="I10" s="31"/>
    </row>
    <row r="11" spans="3:9" ht="16.2" thickBot="1">
      <c r="C11" s="32"/>
      <c r="D11" s="33" t="s">
        <v>74</v>
      </c>
      <c r="E11" s="34"/>
      <c r="F11" s="35"/>
      <c r="G11" s="36" t="s">
        <v>75</v>
      </c>
      <c r="H11" s="37"/>
      <c r="I11" s="38"/>
    </row>
    <row r="12" spans="3:9" ht="15.6" thickTop="1">
      <c r="C12" s="39" t="s">
        <v>76</v>
      </c>
      <c r="D12" s="40" t="s">
        <v>77</v>
      </c>
      <c r="E12" s="41" t="s">
        <v>78</v>
      </c>
      <c r="F12" s="35"/>
      <c r="G12" s="42"/>
      <c r="H12" s="40" t="s">
        <v>77</v>
      </c>
      <c r="I12" s="41" t="s">
        <v>78</v>
      </c>
    </row>
    <row r="13" spans="3:9">
      <c r="C13" s="43"/>
      <c r="D13" s="43"/>
      <c r="E13" s="43"/>
      <c r="F13" s="35"/>
      <c r="G13" s="46">
        <v>0.15</v>
      </c>
      <c r="H13" s="44" t="s">
        <v>80</v>
      </c>
      <c r="I13" s="47">
        <f>E24*G13</f>
        <v>3408</v>
      </c>
    </row>
    <row r="14" spans="3:9">
      <c r="C14" s="48"/>
      <c r="D14" s="43" t="s">
        <v>81</v>
      </c>
      <c r="E14" s="43"/>
      <c r="F14" s="35"/>
      <c r="G14" s="166">
        <v>4.4999999999999998E-2</v>
      </c>
      <c r="H14" s="44" t="s">
        <v>83</v>
      </c>
      <c r="I14" s="47">
        <f>G14*E24</f>
        <v>1022.4</v>
      </c>
    </row>
    <row r="15" spans="3:9">
      <c r="C15" s="43"/>
      <c r="D15" s="43" t="s">
        <v>84</v>
      </c>
      <c r="E15" s="43"/>
      <c r="F15" s="35"/>
      <c r="G15" s="50">
        <v>1E-3</v>
      </c>
      <c r="H15" s="44" t="s">
        <v>85</v>
      </c>
      <c r="I15" s="47">
        <f>E24*G15</f>
        <v>22.72</v>
      </c>
    </row>
    <row r="16" spans="3:9">
      <c r="C16" s="43"/>
      <c r="D16" s="43" t="s">
        <v>86</v>
      </c>
      <c r="E16" s="43"/>
      <c r="F16" s="35"/>
      <c r="G16" s="51"/>
      <c r="H16" s="44" t="s">
        <v>87</v>
      </c>
      <c r="I16" s="47"/>
    </row>
    <row r="17" spans="3:9">
      <c r="C17" s="43"/>
      <c r="D17" s="43" t="s">
        <v>88</v>
      </c>
      <c r="E17" s="43"/>
      <c r="F17" s="35"/>
      <c r="G17" s="51"/>
      <c r="H17" s="44" t="s">
        <v>89</v>
      </c>
      <c r="I17" s="47"/>
    </row>
    <row r="18" spans="3:9">
      <c r="C18" s="43">
        <f>Planillas!J5</f>
        <v>142</v>
      </c>
      <c r="D18" s="43" t="s">
        <v>90</v>
      </c>
      <c r="E18" s="43"/>
      <c r="F18" s="35"/>
      <c r="G18" s="52" t="s">
        <v>91</v>
      </c>
      <c r="H18" s="2"/>
      <c r="I18" s="47"/>
    </row>
    <row r="19" spans="3:9">
      <c r="C19" s="48">
        <f>Planillas!C18</f>
        <v>160</v>
      </c>
      <c r="D19" s="164" t="s">
        <v>254</v>
      </c>
      <c r="E19" s="43">
        <f>C19*C18</f>
        <v>22720</v>
      </c>
      <c r="F19" s="35"/>
      <c r="G19" s="53"/>
      <c r="H19" s="2"/>
      <c r="I19" s="47"/>
    </row>
    <row r="20" spans="3:9">
      <c r="C20" s="48">
        <f>Planillas!D18</f>
        <v>0</v>
      </c>
      <c r="D20" s="43" t="s">
        <v>93</v>
      </c>
      <c r="E20" s="43">
        <f>C20*C18*2</f>
        <v>0</v>
      </c>
      <c r="F20" s="35"/>
      <c r="G20" s="52" t="s">
        <v>94</v>
      </c>
      <c r="H20" s="2"/>
      <c r="I20" s="54"/>
    </row>
    <row r="21" spans="3:9">
      <c r="C21" s="48"/>
      <c r="D21" s="43"/>
      <c r="E21" s="43"/>
      <c r="F21" s="35"/>
      <c r="G21" s="53"/>
      <c r="H21" s="2"/>
      <c r="I21" s="47"/>
    </row>
    <row r="22" spans="3:9">
      <c r="C22" s="43"/>
      <c r="D22" s="43" t="s">
        <v>95</v>
      </c>
      <c r="E22" s="43"/>
      <c r="F22" s="35"/>
      <c r="G22" s="53"/>
      <c r="H22" s="2"/>
      <c r="I22" s="47"/>
    </row>
    <row r="23" spans="3:9">
      <c r="C23" s="43"/>
      <c r="D23" s="43" t="s">
        <v>96</v>
      </c>
      <c r="E23" s="43"/>
      <c r="F23" s="35"/>
      <c r="G23" s="53"/>
      <c r="H23" s="2"/>
      <c r="I23" s="47"/>
    </row>
    <row r="24" spans="3:9" ht="15.6">
      <c r="C24" s="55"/>
      <c r="D24" s="163" t="s">
        <v>97</v>
      </c>
      <c r="E24" s="163">
        <f>SUM(E13:E23)</f>
        <v>22720</v>
      </c>
      <c r="F24" s="35"/>
      <c r="G24" s="58" t="s">
        <v>98</v>
      </c>
      <c r="H24" s="17"/>
      <c r="I24" s="165">
        <f>SUM(I13:I19)</f>
        <v>4453.12</v>
      </c>
    </row>
    <row r="25" spans="3:9">
      <c r="C25" s="60"/>
      <c r="D25" s="35"/>
      <c r="E25" s="35"/>
      <c r="F25" s="2"/>
      <c r="G25" s="35"/>
      <c r="H25" s="35"/>
      <c r="I25" s="61"/>
    </row>
    <row r="26" spans="3:9" ht="15.6">
      <c r="C26" s="60"/>
      <c r="D26" s="35"/>
      <c r="E26" s="35"/>
      <c r="F26" s="2"/>
      <c r="G26" s="62" t="s">
        <v>99</v>
      </c>
      <c r="H26" s="63"/>
      <c r="I26" s="64">
        <f>E24-I24</f>
        <v>18266.88</v>
      </c>
    </row>
    <row r="27" spans="3:9">
      <c r="C27" s="60"/>
      <c r="D27" s="35"/>
      <c r="E27" s="35"/>
      <c r="F27" s="2"/>
      <c r="G27" s="35"/>
      <c r="H27" s="35"/>
      <c r="I27" s="61"/>
    </row>
    <row r="28" spans="3:9">
      <c r="C28" s="60"/>
      <c r="D28" s="170" t="s">
        <v>100</v>
      </c>
      <c r="E28" s="171"/>
      <c r="F28" s="35"/>
      <c r="G28" s="170" t="s">
        <v>101</v>
      </c>
      <c r="H28" s="171"/>
      <c r="I28" s="61"/>
    </row>
    <row r="29" spans="3:9">
      <c r="C29" s="60"/>
      <c r="D29" s="172"/>
      <c r="E29" s="173"/>
      <c r="F29" s="35"/>
      <c r="G29" s="172"/>
      <c r="H29" s="173"/>
      <c r="I29" s="61"/>
    </row>
    <row r="30" spans="3:9">
      <c r="C30" s="60"/>
      <c r="D30" s="172"/>
      <c r="E30" s="173"/>
      <c r="F30" s="35"/>
      <c r="G30" s="172"/>
      <c r="H30" s="173"/>
      <c r="I30" s="61"/>
    </row>
    <row r="31" spans="3:9">
      <c r="C31" s="60"/>
      <c r="D31" s="174"/>
      <c r="E31" s="175"/>
      <c r="F31" s="35"/>
      <c r="G31" s="174"/>
      <c r="H31" s="175"/>
      <c r="I31" s="61"/>
    </row>
    <row r="32" spans="3:9">
      <c r="C32" s="60"/>
      <c r="D32" s="35"/>
      <c r="E32" s="35"/>
      <c r="F32" s="35"/>
      <c r="G32" s="35"/>
      <c r="H32" s="35"/>
      <c r="I32" s="61"/>
    </row>
    <row r="33" spans="3:9">
      <c r="C33" s="43"/>
      <c r="D33" s="2"/>
      <c r="E33" s="2"/>
      <c r="F33" s="2"/>
      <c r="G33" s="2"/>
      <c r="H33" s="2"/>
      <c r="I33" s="47"/>
    </row>
    <row r="34" spans="3:9" ht="17.399999999999999">
      <c r="C34" s="43"/>
      <c r="D34" s="23" t="s">
        <v>102</v>
      </c>
      <c r="E34" s="5">
        <v>44134</v>
      </c>
      <c r="F34" s="65" t="s">
        <v>103</v>
      </c>
      <c r="G34" s="2"/>
      <c r="H34" s="2"/>
      <c r="I34" s="47"/>
    </row>
    <row r="35" spans="3:9" ht="15" thickBot="1">
      <c r="C35" s="66"/>
      <c r="D35" s="67"/>
      <c r="E35" s="67"/>
      <c r="F35" s="67"/>
      <c r="G35" s="67"/>
      <c r="H35" s="67"/>
      <c r="I35" s="68"/>
    </row>
  </sheetData>
  <mergeCells count="3">
    <mergeCell ref="D28:E31"/>
    <mergeCell ref="G28:H31"/>
    <mergeCell ref="E8:E9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Z1000"/>
  <sheetViews>
    <sheetView workbookViewId="0"/>
  </sheetViews>
  <sheetFormatPr baseColWidth="10" defaultColWidth="14.44140625" defaultRowHeight="15" customHeight="1"/>
  <cols>
    <col min="1" max="1" width="22.5546875" customWidth="1"/>
    <col min="2" max="2" width="20.33203125" customWidth="1"/>
    <col min="3" max="3" width="13" customWidth="1"/>
    <col min="4" max="4" width="4.109375" customWidth="1"/>
    <col min="5" max="26" width="17.33203125" customWidth="1"/>
  </cols>
  <sheetData>
    <row r="1" spans="1:26" ht="16.5" customHeight="1"/>
    <row r="2" spans="1:26" ht="27.75" customHeight="1">
      <c r="A2" s="69" t="s">
        <v>61</v>
      </c>
      <c r="B2" s="70"/>
      <c r="C2" s="70"/>
      <c r="D2" s="70"/>
      <c r="E2" s="70"/>
      <c r="F2" s="70"/>
      <c r="G2" s="71" t="s">
        <v>62</v>
      </c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</row>
    <row r="3" spans="1:26" ht="15.6">
      <c r="A3" s="14" t="s">
        <v>63</v>
      </c>
      <c r="B3" s="2"/>
      <c r="C3" s="2"/>
      <c r="D3" s="2"/>
      <c r="E3" s="2"/>
      <c r="F3" s="2"/>
      <c r="G3" s="15" t="s">
        <v>64</v>
      </c>
    </row>
    <row r="4" spans="1:26" ht="15.6">
      <c r="A4" s="14" t="s">
        <v>65</v>
      </c>
      <c r="B4" s="2"/>
      <c r="C4" s="2"/>
      <c r="D4" s="2"/>
      <c r="E4" s="2"/>
      <c r="F4" s="2"/>
      <c r="G4" s="15" t="s">
        <v>66</v>
      </c>
    </row>
    <row r="5" spans="1:26" ht="15.6">
      <c r="A5" s="16" t="s">
        <v>67</v>
      </c>
      <c r="B5" s="17"/>
      <c r="C5" s="17"/>
      <c r="D5" s="17"/>
      <c r="E5" s="17"/>
      <c r="F5" s="17"/>
      <c r="G5" s="18" t="s">
        <v>68</v>
      </c>
    </row>
    <row r="6" spans="1:26" ht="15.6">
      <c r="A6" s="19" t="s">
        <v>69</v>
      </c>
      <c r="B6" s="20" t="str">
        <f>Planillas!B6</f>
        <v>Shelman</v>
      </c>
      <c r="C6" s="2" t="str">
        <f>Planillas!E6</f>
        <v>Operario Calificado</v>
      </c>
      <c r="D6" s="2"/>
      <c r="E6" s="21"/>
      <c r="F6" s="21"/>
      <c r="G6" s="22" t="s">
        <v>70</v>
      </c>
    </row>
    <row r="7" spans="1:26" ht="15.6">
      <c r="A7" s="14" t="str">
        <f>Planillas!C6</f>
        <v>5325667-0</v>
      </c>
      <c r="B7" s="23" t="s">
        <v>71</v>
      </c>
      <c r="C7" s="24">
        <f>Planillas!D6</f>
        <v>42381</v>
      </c>
      <c r="D7" s="2"/>
      <c r="E7" s="5"/>
      <c r="F7" s="2"/>
      <c r="G7" s="15" t="s">
        <v>72</v>
      </c>
    </row>
    <row r="8" spans="1:26" ht="15" customHeight="1">
      <c r="A8" s="25"/>
      <c r="B8" s="17"/>
      <c r="C8" s="17"/>
      <c r="D8" s="17"/>
      <c r="E8" s="17"/>
      <c r="F8" s="17"/>
      <c r="G8" s="18" t="s">
        <v>73</v>
      </c>
    </row>
    <row r="9" spans="1:26" ht="15" customHeight="1">
      <c r="A9" s="26"/>
      <c r="B9" s="27"/>
      <c r="C9" s="28"/>
      <c r="D9" s="29"/>
      <c r="E9" s="30"/>
      <c r="F9" s="27"/>
      <c r="G9" s="31"/>
    </row>
    <row r="10" spans="1:26" ht="15.6">
      <c r="A10" s="32"/>
      <c r="B10" s="33" t="s">
        <v>74</v>
      </c>
      <c r="C10" s="34"/>
      <c r="D10" s="35"/>
      <c r="E10" s="36" t="s">
        <v>75</v>
      </c>
      <c r="F10" s="37"/>
      <c r="G10" s="38"/>
    </row>
    <row r="11" spans="1:26">
      <c r="A11" s="39" t="s">
        <v>76</v>
      </c>
      <c r="B11" s="40" t="s">
        <v>77</v>
      </c>
      <c r="C11" s="41" t="s">
        <v>78</v>
      </c>
      <c r="D11" s="35"/>
      <c r="E11" s="42"/>
      <c r="F11" s="40" t="s">
        <v>77</v>
      </c>
      <c r="G11" s="41" t="s">
        <v>78</v>
      </c>
    </row>
    <row r="12" spans="1:26" ht="14.4">
      <c r="A12" s="43"/>
      <c r="B12" s="44" t="s">
        <v>104</v>
      </c>
      <c r="C12" s="45">
        <f>A17*A18</f>
        <v>32010</v>
      </c>
      <c r="D12" s="35"/>
      <c r="E12" s="46">
        <v>0.15</v>
      </c>
      <c r="F12" s="44" t="s">
        <v>80</v>
      </c>
      <c r="G12" s="47">
        <f>C23*0.15</f>
        <v>5197.5</v>
      </c>
    </row>
    <row r="13" spans="1:26" ht="14.4">
      <c r="A13" s="48"/>
      <c r="B13" s="44" t="s">
        <v>81</v>
      </c>
      <c r="C13" s="45"/>
      <c r="D13" s="35"/>
      <c r="E13" s="46">
        <v>0.06</v>
      </c>
      <c r="F13" s="44" t="s">
        <v>83</v>
      </c>
      <c r="G13" s="47">
        <f>C23*0.06</f>
        <v>2079</v>
      </c>
    </row>
    <row r="14" spans="1:26" ht="14.4">
      <c r="A14" s="43"/>
      <c r="B14" s="44" t="s">
        <v>84</v>
      </c>
      <c r="C14" s="49"/>
      <c r="D14" s="35"/>
      <c r="E14" s="50" t="s">
        <v>105</v>
      </c>
      <c r="F14" s="44" t="s">
        <v>85</v>
      </c>
      <c r="G14" s="47">
        <f>C23*0.001</f>
        <v>34.65</v>
      </c>
    </row>
    <row r="15" spans="1:26" ht="14.4">
      <c r="A15" s="43"/>
      <c r="B15" s="44" t="s">
        <v>86</v>
      </c>
      <c r="C15" s="49"/>
      <c r="D15" s="35"/>
      <c r="E15" s="51"/>
      <c r="F15" s="44" t="s">
        <v>87</v>
      </c>
      <c r="G15" s="47"/>
    </row>
    <row r="16" spans="1:26" ht="14.4">
      <c r="A16" s="43"/>
      <c r="B16" s="44" t="s">
        <v>88</v>
      </c>
      <c r="C16" s="45"/>
      <c r="D16" s="35"/>
      <c r="E16" s="51"/>
      <c r="F16" s="44" t="s">
        <v>89</v>
      </c>
      <c r="G16" s="47"/>
    </row>
    <row r="17" spans="1:7" ht="14.4">
      <c r="A17" s="43">
        <f>Planillas!J6</f>
        <v>165</v>
      </c>
      <c r="B17" s="23" t="s">
        <v>90</v>
      </c>
      <c r="C17" s="49"/>
      <c r="D17" s="35"/>
      <c r="E17" s="52" t="s">
        <v>91</v>
      </c>
      <c r="F17" s="2"/>
      <c r="G17" s="47"/>
    </row>
    <row r="18" spans="1:7" ht="14.4">
      <c r="A18" s="73">
        <f>Planillas!C19</f>
        <v>194</v>
      </c>
      <c r="B18" s="23" t="s">
        <v>92</v>
      </c>
      <c r="C18" s="49"/>
      <c r="D18" s="35"/>
      <c r="E18" s="53"/>
      <c r="F18" s="2"/>
      <c r="G18" s="47"/>
    </row>
    <row r="19" spans="1:7" ht="14.4">
      <c r="A19" s="48">
        <v>8</v>
      </c>
      <c r="B19" s="7" t="s">
        <v>93</v>
      </c>
      <c r="C19" s="45">
        <f>A17*2*A19</f>
        <v>2640</v>
      </c>
      <c r="D19" s="35"/>
      <c r="E19" s="52" t="s">
        <v>94</v>
      </c>
      <c r="F19" s="2"/>
      <c r="G19" s="54"/>
    </row>
    <row r="20" spans="1:7" ht="14.4">
      <c r="A20" s="48"/>
      <c r="C20" s="45"/>
      <c r="D20" s="35"/>
      <c r="E20" s="53"/>
      <c r="F20" s="2"/>
      <c r="G20" s="47"/>
    </row>
    <row r="21" spans="1:7" ht="15.75" customHeight="1">
      <c r="A21" s="43"/>
      <c r="B21" s="44" t="s">
        <v>95</v>
      </c>
      <c r="C21" s="49"/>
      <c r="D21" s="35"/>
      <c r="E21" s="53"/>
      <c r="F21" s="2"/>
      <c r="G21" s="47"/>
    </row>
    <row r="22" spans="1:7" ht="15.75" customHeight="1">
      <c r="A22" s="43"/>
      <c r="B22" s="44" t="s">
        <v>96</v>
      </c>
      <c r="C22" s="49"/>
      <c r="D22" s="35"/>
      <c r="E22" s="53"/>
      <c r="F22" s="2"/>
      <c r="G22" s="47"/>
    </row>
    <row r="23" spans="1:7" ht="15.75" customHeight="1">
      <c r="A23" s="55"/>
      <c r="B23" s="56" t="s">
        <v>97</v>
      </c>
      <c r="C23" s="57">
        <f>SUM(C12:C19)</f>
        <v>34650</v>
      </c>
      <c r="D23" s="35"/>
      <c r="E23" s="58" t="s">
        <v>98</v>
      </c>
      <c r="F23" s="17"/>
      <c r="G23" s="59">
        <f>SUM(G12:G18)</f>
        <v>7311.15</v>
      </c>
    </row>
    <row r="24" spans="1:7" ht="15.75" customHeight="1">
      <c r="A24" s="60"/>
      <c r="B24" s="35"/>
      <c r="C24" s="35"/>
      <c r="D24" s="2"/>
      <c r="E24" s="35"/>
      <c r="F24" s="35"/>
      <c r="G24" s="61"/>
    </row>
    <row r="25" spans="1:7" ht="15.75" customHeight="1">
      <c r="A25" s="60"/>
      <c r="B25" s="35"/>
      <c r="C25" s="35"/>
      <c r="D25" s="2"/>
      <c r="E25" s="62" t="s">
        <v>99</v>
      </c>
      <c r="F25" s="63"/>
      <c r="G25" s="64">
        <f>C23-G23</f>
        <v>27338.85</v>
      </c>
    </row>
    <row r="26" spans="1:7" ht="15.75" customHeight="1">
      <c r="A26" s="60"/>
      <c r="B26" s="35"/>
      <c r="C26" s="35"/>
      <c r="D26" s="2"/>
      <c r="E26" s="35"/>
      <c r="F26" s="35"/>
      <c r="G26" s="61"/>
    </row>
    <row r="27" spans="1:7" ht="15.75" customHeight="1">
      <c r="A27" s="60"/>
      <c r="B27" s="170" t="s">
        <v>100</v>
      </c>
      <c r="C27" s="171"/>
      <c r="D27" s="35"/>
      <c r="E27" s="170" t="s">
        <v>101</v>
      </c>
      <c r="F27" s="171"/>
      <c r="G27" s="61"/>
    </row>
    <row r="28" spans="1:7" ht="15.75" customHeight="1">
      <c r="A28" s="60"/>
      <c r="B28" s="172"/>
      <c r="C28" s="173"/>
      <c r="D28" s="35"/>
      <c r="E28" s="172"/>
      <c r="F28" s="173"/>
      <c r="G28" s="61"/>
    </row>
    <row r="29" spans="1:7" ht="15.75" customHeight="1">
      <c r="A29" s="60"/>
      <c r="B29" s="172"/>
      <c r="C29" s="173"/>
      <c r="D29" s="35"/>
      <c r="E29" s="172"/>
      <c r="F29" s="173"/>
      <c r="G29" s="61"/>
    </row>
    <row r="30" spans="1:7" ht="15.75" customHeight="1">
      <c r="A30" s="60"/>
      <c r="B30" s="174"/>
      <c r="C30" s="175"/>
      <c r="D30" s="35"/>
      <c r="E30" s="174"/>
      <c r="F30" s="175"/>
      <c r="G30" s="61"/>
    </row>
    <row r="31" spans="1:7" ht="15.75" customHeight="1">
      <c r="A31" s="60"/>
      <c r="B31" s="35"/>
      <c r="C31" s="35"/>
      <c r="D31" s="35"/>
      <c r="E31" s="35"/>
      <c r="F31" s="35"/>
      <c r="G31" s="61"/>
    </row>
    <row r="32" spans="1:7" ht="15.75" customHeight="1">
      <c r="A32" s="43"/>
      <c r="B32" s="2"/>
      <c r="C32" s="2"/>
      <c r="D32" s="2"/>
      <c r="E32" s="2"/>
      <c r="F32" s="2"/>
      <c r="G32" s="47"/>
    </row>
    <row r="33" spans="1:7" ht="15.75" customHeight="1">
      <c r="A33" s="43"/>
      <c r="B33" s="23" t="s">
        <v>102</v>
      </c>
      <c r="C33" s="2"/>
      <c r="D33" s="65" t="s">
        <v>103</v>
      </c>
      <c r="E33" s="2"/>
      <c r="F33" s="2"/>
      <c r="G33" s="47"/>
    </row>
    <row r="34" spans="1:7" ht="15.75" customHeight="1">
      <c r="A34" s="66"/>
      <c r="B34" s="67"/>
      <c r="C34" s="67"/>
      <c r="D34" s="67"/>
      <c r="E34" s="67"/>
      <c r="F34" s="67"/>
      <c r="G34" s="68"/>
    </row>
    <row r="35" spans="1:7" ht="15.75" customHeight="1"/>
    <row r="36" spans="1:7" ht="15.75" customHeight="1"/>
    <row r="37" spans="1:7" ht="15.75" customHeight="1"/>
    <row r="38" spans="1:7" ht="15.75" customHeight="1"/>
    <row r="39" spans="1:7" ht="15.75" customHeight="1"/>
    <row r="40" spans="1:7" ht="15.75" customHeight="1"/>
    <row r="41" spans="1:7" ht="15.75" customHeight="1"/>
    <row r="42" spans="1:7" ht="15.75" customHeight="1"/>
    <row r="43" spans="1:7" ht="15.75" customHeight="1"/>
    <row r="44" spans="1:7" ht="15.75" customHeight="1"/>
    <row r="45" spans="1:7" ht="15.75" customHeight="1"/>
    <row r="46" spans="1:7" ht="15.75" customHeight="1"/>
    <row r="47" spans="1:7" ht="15.75" customHeight="1"/>
    <row r="48" spans="1:7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B27:C30"/>
    <mergeCell ref="E27:F30"/>
  </mergeCells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Z1000"/>
  <sheetViews>
    <sheetView workbookViewId="0"/>
  </sheetViews>
  <sheetFormatPr baseColWidth="10" defaultColWidth="14.44140625" defaultRowHeight="15" customHeight="1"/>
  <cols>
    <col min="1" max="1" width="22.88671875" customWidth="1"/>
    <col min="2" max="2" width="20.33203125" customWidth="1"/>
    <col min="3" max="3" width="13" customWidth="1"/>
    <col min="4" max="4" width="4.109375" customWidth="1"/>
    <col min="5" max="26" width="17.33203125" customWidth="1"/>
  </cols>
  <sheetData>
    <row r="1" spans="1:26" ht="16.5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7.75" customHeight="1">
      <c r="A2" s="69" t="s">
        <v>61</v>
      </c>
      <c r="B2" s="70"/>
      <c r="C2" s="70"/>
      <c r="D2" s="70"/>
      <c r="E2" s="70"/>
      <c r="F2" s="70"/>
      <c r="G2" s="71" t="s">
        <v>62</v>
      </c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</row>
    <row r="3" spans="1:26" ht="15.6">
      <c r="A3" s="14" t="s">
        <v>63</v>
      </c>
      <c r="B3" s="2"/>
      <c r="C3" s="2"/>
      <c r="D3" s="2"/>
      <c r="E3" s="2"/>
      <c r="F3" s="2"/>
      <c r="G3" s="15" t="s">
        <v>64</v>
      </c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5.6">
      <c r="A4" s="14" t="s">
        <v>65</v>
      </c>
      <c r="B4" s="2"/>
      <c r="C4" s="2"/>
      <c r="D4" s="2"/>
      <c r="E4" s="2"/>
      <c r="F4" s="2"/>
      <c r="G4" s="15" t="s">
        <v>66</v>
      </c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5.6">
      <c r="A5" s="16" t="s">
        <v>67</v>
      </c>
      <c r="B5" s="17"/>
      <c r="C5" s="17"/>
      <c r="D5" s="17"/>
      <c r="E5" s="17"/>
      <c r="F5" s="17"/>
      <c r="G5" s="18" t="s">
        <v>68</v>
      </c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5.6">
      <c r="A6" s="19" t="s">
        <v>69</v>
      </c>
      <c r="B6" s="20" t="str">
        <f>Planillas!B8</f>
        <v>Comodha</v>
      </c>
      <c r="C6" s="2" t="str">
        <f>Planillas!E8</f>
        <v>Administrativa</v>
      </c>
      <c r="D6" s="2"/>
      <c r="E6" s="21"/>
      <c r="F6" s="21"/>
      <c r="G6" s="22" t="s">
        <v>70</v>
      </c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5.6">
      <c r="A7" s="14" t="str">
        <f>Planillas!C8</f>
        <v>2375658-6</v>
      </c>
      <c r="B7" s="23" t="s">
        <v>71</v>
      </c>
      <c r="C7" s="24">
        <f>Planillas!D8</f>
        <v>40036</v>
      </c>
      <c r="D7" s="2"/>
      <c r="E7" s="5"/>
      <c r="F7" s="2"/>
      <c r="G7" s="15" t="s">
        <v>72</v>
      </c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5" customHeight="1">
      <c r="A8" s="25"/>
      <c r="B8" s="17"/>
      <c r="C8" s="17"/>
      <c r="D8" s="17"/>
      <c r="E8" s="17"/>
      <c r="F8" s="17"/>
      <c r="G8" s="18" t="s">
        <v>73</v>
      </c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5" customHeight="1">
      <c r="A9" s="26"/>
      <c r="B9" s="27"/>
      <c r="C9" s="28"/>
      <c r="D9" s="29"/>
      <c r="E9" s="30"/>
      <c r="F9" s="27"/>
      <c r="G9" s="31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5.6">
      <c r="A10" s="32"/>
      <c r="B10" s="33" t="s">
        <v>74</v>
      </c>
      <c r="C10" s="34"/>
      <c r="D10" s="35"/>
      <c r="E10" s="36" t="s">
        <v>75</v>
      </c>
      <c r="F10" s="37"/>
      <c r="G10" s="38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>
      <c r="A11" s="39" t="s">
        <v>76</v>
      </c>
      <c r="B11" s="40" t="s">
        <v>77</v>
      </c>
      <c r="C11" s="41" t="s">
        <v>78</v>
      </c>
      <c r="D11" s="35"/>
      <c r="E11" s="42"/>
      <c r="F11" s="40" t="s">
        <v>77</v>
      </c>
      <c r="G11" s="41" t="s">
        <v>78</v>
      </c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4.4">
      <c r="A12" s="43"/>
      <c r="B12" s="44" t="s">
        <v>104</v>
      </c>
      <c r="C12" s="45">
        <f>Planillas!K8</f>
        <v>32500</v>
      </c>
      <c r="D12" s="35"/>
      <c r="E12" s="46">
        <v>0.15</v>
      </c>
      <c r="F12" s="44" t="s">
        <v>80</v>
      </c>
      <c r="G12" s="74">
        <f>C23*0.15</f>
        <v>4712.5</v>
      </c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4.4">
      <c r="A13" s="48">
        <v>1</v>
      </c>
      <c r="B13" s="44" t="s">
        <v>81</v>
      </c>
      <c r="C13" s="75">
        <f>(C12/30)*-1</f>
        <v>-1083.3333333333333</v>
      </c>
      <c r="D13" s="35"/>
      <c r="E13" s="46">
        <v>0.06</v>
      </c>
      <c r="F13" s="44" t="s">
        <v>83</v>
      </c>
      <c r="G13" s="74">
        <f>C23*0.06</f>
        <v>1885</v>
      </c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4.4">
      <c r="A14" s="43"/>
      <c r="B14" s="44" t="s">
        <v>84</v>
      </c>
      <c r="C14" s="49"/>
      <c r="D14" s="35"/>
      <c r="E14" s="50" t="s">
        <v>105</v>
      </c>
      <c r="F14" s="44" t="s">
        <v>85</v>
      </c>
      <c r="G14" s="74">
        <f>C23*0.001</f>
        <v>31.416666666666668</v>
      </c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4.4">
      <c r="A15" s="43"/>
      <c r="B15" s="44" t="s">
        <v>86</v>
      </c>
      <c r="C15" s="49"/>
      <c r="D15" s="35"/>
      <c r="E15" s="51"/>
      <c r="F15" s="44" t="s">
        <v>87</v>
      </c>
      <c r="G15" s="47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4.4">
      <c r="A16" s="43"/>
      <c r="B16" s="44" t="s">
        <v>88</v>
      </c>
      <c r="C16" s="45"/>
      <c r="D16" s="35"/>
      <c r="E16" s="51"/>
      <c r="F16" s="44" t="s">
        <v>89</v>
      </c>
      <c r="G16" s="47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4.4">
      <c r="A17" s="43"/>
      <c r="B17" s="23" t="s">
        <v>90</v>
      </c>
      <c r="C17" s="49"/>
      <c r="D17" s="35"/>
      <c r="E17" s="52" t="s">
        <v>91</v>
      </c>
      <c r="F17" s="2"/>
      <c r="G17" s="47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4.4">
      <c r="A18" s="48"/>
      <c r="B18" s="23" t="s">
        <v>92</v>
      </c>
      <c r="C18" s="49"/>
      <c r="D18" s="35"/>
      <c r="E18" s="53"/>
      <c r="F18" s="2"/>
      <c r="G18" s="47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4.4">
      <c r="A19" s="48"/>
      <c r="B19" s="7" t="s">
        <v>93</v>
      </c>
      <c r="C19" s="45"/>
      <c r="D19" s="35"/>
      <c r="E19" s="52" t="s">
        <v>94</v>
      </c>
      <c r="F19" s="2"/>
      <c r="G19" s="54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4.4">
      <c r="A20" s="48"/>
      <c r="B20" s="2"/>
      <c r="C20" s="45"/>
      <c r="D20" s="35"/>
      <c r="E20" s="53"/>
      <c r="F20" s="2"/>
      <c r="G20" s="47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5.75" customHeight="1">
      <c r="A21" s="43"/>
      <c r="B21" s="44" t="s">
        <v>95</v>
      </c>
      <c r="C21" s="49"/>
      <c r="D21" s="35"/>
      <c r="E21" s="53"/>
      <c r="F21" s="2"/>
      <c r="G21" s="47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5.75" customHeight="1">
      <c r="A22" s="43"/>
      <c r="B22" s="44" t="s">
        <v>96</v>
      </c>
      <c r="C22" s="49"/>
      <c r="D22" s="35"/>
      <c r="E22" s="53"/>
      <c r="F22" s="2"/>
      <c r="G22" s="47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5.75" customHeight="1">
      <c r="A23" s="55"/>
      <c r="B23" s="56" t="s">
        <v>97</v>
      </c>
      <c r="C23" s="57">
        <f>SUM(C12:C19)</f>
        <v>31416.666666666668</v>
      </c>
      <c r="D23" s="35"/>
      <c r="E23" s="58" t="s">
        <v>98</v>
      </c>
      <c r="F23" s="17"/>
      <c r="G23" s="76">
        <f>SUM(G12:G18)</f>
        <v>6628.916666666667</v>
      </c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5.75" customHeight="1">
      <c r="A24" s="60"/>
      <c r="B24" s="35"/>
      <c r="C24" s="35"/>
      <c r="D24" s="2"/>
      <c r="E24" s="35"/>
      <c r="F24" s="35"/>
      <c r="G24" s="61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5.75" customHeight="1">
      <c r="A25" s="60"/>
      <c r="B25" s="35"/>
      <c r="C25" s="35"/>
      <c r="D25" s="2"/>
      <c r="E25" s="62" t="s">
        <v>99</v>
      </c>
      <c r="F25" s="63"/>
      <c r="G25" s="77">
        <f>C23-G23</f>
        <v>24787.75</v>
      </c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5.75" customHeight="1">
      <c r="A26" s="60"/>
      <c r="B26" s="35"/>
      <c r="C26" s="35"/>
      <c r="D26" s="2"/>
      <c r="E26" s="35"/>
      <c r="F26" s="35"/>
      <c r="G26" s="61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5.75" customHeight="1">
      <c r="A27" s="60"/>
      <c r="B27" s="170" t="s">
        <v>100</v>
      </c>
      <c r="C27" s="171"/>
      <c r="D27" s="35"/>
      <c r="E27" s="170" t="s">
        <v>101</v>
      </c>
      <c r="F27" s="171"/>
      <c r="G27" s="61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5.75" customHeight="1">
      <c r="A28" s="60"/>
      <c r="B28" s="172"/>
      <c r="C28" s="173"/>
      <c r="D28" s="35"/>
      <c r="E28" s="172"/>
      <c r="F28" s="173"/>
      <c r="G28" s="61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5.75" customHeight="1">
      <c r="A29" s="60"/>
      <c r="B29" s="172"/>
      <c r="C29" s="173"/>
      <c r="D29" s="35"/>
      <c r="E29" s="172"/>
      <c r="F29" s="173"/>
      <c r="G29" s="61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5.75" customHeight="1">
      <c r="A30" s="60"/>
      <c r="B30" s="174"/>
      <c r="C30" s="175"/>
      <c r="D30" s="35"/>
      <c r="E30" s="174"/>
      <c r="F30" s="175"/>
      <c r="G30" s="61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5.75" customHeight="1">
      <c r="A31" s="60"/>
      <c r="B31" s="35"/>
      <c r="C31" s="35"/>
      <c r="D31" s="35"/>
      <c r="E31" s="35"/>
      <c r="F31" s="35"/>
      <c r="G31" s="61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5.75" customHeight="1">
      <c r="A32" s="43"/>
      <c r="B32" s="2"/>
      <c r="C32" s="2"/>
      <c r="D32" s="2"/>
      <c r="E32" s="2"/>
      <c r="F32" s="2"/>
      <c r="G32" s="47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5.75" customHeight="1">
      <c r="A33" s="43"/>
      <c r="B33" s="23" t="s">
        <v>102</v>
      </c>
      <c r="C33" s="2"/>
      <c r="D33" s="65" t="s">
        <v>103</v>
      </c>
      <c r="E33" s="2"/>
      <c r="F33" s="2"/>
      <c r="G33" s="47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5.75" customHeight="1">
      <c r="A34" s="66"/>
      <c r="B34" s="67"/>
      <c r="C34" s="67"/>
      <c r="D34" s="67"/>
      <c r="E34" s="67"/>
      <c r="F34" s="67"/>
      <c r="G34" s="68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5.75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5.75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5.7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5.75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5.7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5.7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5.7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5.7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5.7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5.7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5.7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5.7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5.7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5.7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5.7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5.7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5.7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5.7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5.7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5.7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5.7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5.7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5.7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5.7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5.7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5.7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5.7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5.7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5.7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5.7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5.7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5.7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5.7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5.7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5.7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5.7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5.7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5.7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5.7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5.7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5.7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5.7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5.7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5.7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5.7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5.7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5.7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5.7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5.7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5.7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5.7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5.7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5.7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5.7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5.7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5.7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5.7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5.7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5.7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5.7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5.7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5.7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5.7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5.7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5.7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5.7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5.7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5.7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5.7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5.7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5.7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5.7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5.7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5.7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5.7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5.7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5.7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5.7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5.7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5.7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5.7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5.7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5.7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5.7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5.7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5.7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5.7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5.7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5.7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5.7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5.7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5.7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5.7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5.7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5.7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5.7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5.7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5.7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5.7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5.7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5.7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5.7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5.7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5.7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5.7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5.7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5.7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5.7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5.7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5.7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5.7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5.7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5.7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5.7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5.7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5.7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5.7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5.7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5.7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5.7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5.7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5.7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5.7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5.7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5.7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5.7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5.7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5.7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5.7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5.7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5.7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5.7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5.7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5.7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5.7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5.7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5.7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5.7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5.7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5.7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5.7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5.7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5.7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5.7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5.7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5.7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5.7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5.7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5.7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5.7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5.7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5.7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5.7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5.7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5.7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5.7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5.7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5.7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5.7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5.7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5.7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5.7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5.7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5.7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5.7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5.7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5.7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5.7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5.7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5.7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5.7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5.7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5.7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5.7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5.7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5.7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5.7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5.7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5.7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5.7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5.7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5.7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5.7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5.7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5.7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5.7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5.7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5.7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5.7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5.7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5.7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5.7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5.7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5.7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5.7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5.7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5.7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5.7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5.7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5.7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5.7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5.7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5.7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5.7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5.7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5.7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5.7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5.7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5.7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5.7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5.7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5.7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5.7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5.7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5.7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5.7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5.7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5.7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5.7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5.7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5.7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5.7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5.7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5.7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5.7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5.7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5.7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5.7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5.7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5.7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5.7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5.7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5.7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5.7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5.7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5.7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5.7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5.7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5.7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5.7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5.7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5.7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5.7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5.7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5.7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5.7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5.7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5.7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5.7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5.7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5.7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5.7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5.7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5.7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5.7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5.7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5.7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5.7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5.7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5.7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5.7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5.7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5.7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5.7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5.7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5.7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5.7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5.7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5.7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5.7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5.7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5.7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5.7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5.7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5.7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5.7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5.7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5.7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5.7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5.7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5.7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5.7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5.7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5.7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5.7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5.7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5.7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5.7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5.7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5.7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5.7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5.7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5.7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5.7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5.7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5.7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5.7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5.7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5.7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5.7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5.7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5.7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5.7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5.7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5.7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5.7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5.7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5.7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5.7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5.7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5.7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5.7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5.7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5.7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5.7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5.7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5.7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5.7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5.7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5.7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5.7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5.7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5.7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5.7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5.7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5.7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5.7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5.7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5.7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5.7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5.7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5.7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5.7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5.7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5.7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5.7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5.7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5.7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5.7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5.7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5.7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5.7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5.7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5.7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5.7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5.7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5.7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5.7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5.7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5.7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5.7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5.7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5.7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5.7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5.7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5.7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5.7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5.7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5.7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5.7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5.7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5.7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5.7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5.7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5.7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5.7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5.7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5.7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5.7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5.7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5.7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5.7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5.7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5.7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5.7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5.7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5.7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5.7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5.7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5.7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5.7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5.7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5.7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5.7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5.7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5.7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5.7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5.7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5.7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5.7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5.7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5.7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5.7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5.7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5.7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5.7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5.7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5.7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5.7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5.7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5.7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5.7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5.7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5.7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5.7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5.7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5.7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5.7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5.7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5.7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5.7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5.7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5.7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5.7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5.7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5.7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5.7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5.7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5.7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5.7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5.7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5.7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5.7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5.7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5.7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5.7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5.7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5.7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5.7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5.7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5.7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5.7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5.7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5.7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5.7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5.7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5.7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5.7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5.7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5.7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5.7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5.7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5.7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5.7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5.7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5.7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5.7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5.7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5.7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5.7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5.7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5.7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5.7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5.7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5.7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5.7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5.7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5.7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5.7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5.7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5.7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5.7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5.7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5.7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5.7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5.7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5.7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5.7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5.7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5.7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5.7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5.7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5.7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5.7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5.7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5.7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5.7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5.7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5.7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5.7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5.7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5.7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5.7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5.7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5.7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5.7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5.7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5.7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5.7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5.7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5.7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5.7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5.7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5.7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5.7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5.7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5.7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5.7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5.7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5.7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5.7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5.7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5.7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5.7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5.7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5.7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5.7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5.7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5.7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5.7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5.7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5.7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5.7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5.7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5.7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5.7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5.7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5.7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5.7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5.7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5.7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5.7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5.7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5.7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5.7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5.7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5.7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5.7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5.7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5.7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5.7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5.7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5.7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5.7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5.7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5.7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5.7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5.7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5.7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5.7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5.7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5.7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5.7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5.7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5.7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5.7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5.7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5.7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5.7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5.7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5.7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5.7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5.7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5.7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5.7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5.7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5.7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5.7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5.7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5.7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5.7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5.7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5.7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5.7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5.7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5.7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5.7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5.7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5.7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5.7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5.7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5.7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5.7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5.7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5.7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5.7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5.7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5.7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5.7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5.7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5.7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5.7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5.7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5.7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5.7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5.7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5.7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5.7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5.7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5.7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5.7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5.7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5.7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5.7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5.7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5.7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5.7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5.7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5.7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5.7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5.7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5.7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5.7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5.7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5.7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5.7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5.7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5.7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5.7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5.7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5.7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5.7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5.7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5.7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5.7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5.7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5.7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5.7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5.7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5.7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5.7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5.7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5.7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5.7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5.7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5.7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5.7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5.7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5.7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5.7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5.7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5.7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5.7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5.7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5.7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5.7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5.7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5.7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5.7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5.7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5.7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5.7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5.7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5.7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5.7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5.7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5.7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5.7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5.7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5.7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5.7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5.7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5.7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5.7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5.7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5.7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5.7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5.7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5.7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5.7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5.7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5.7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5.7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5.7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5.7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5.7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5.7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5.7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5.7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5.7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5.7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5.7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5.7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5.7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5.7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5.7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5.7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5.7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5.7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5.7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5.7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5.7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5.7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5.7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5.7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5.7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5.7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5.7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5.7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5.7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5.7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5.7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5.7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5.7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5.7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5.7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5.7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5.7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5.7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5.7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5.7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5.7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5.7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5.7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5.7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5.7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5.7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5.7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5.7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5.7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5.7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5.7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5.7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5.7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5.7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5.7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5.7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5.7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5.7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5.7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5.7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5.7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5.7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5.7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5.7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5.7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5.7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5.7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5.7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5.7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5.7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5.7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5.7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5.7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5.7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5.7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5.7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5.7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5.7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5.7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5.7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5.7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5.7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5.7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5.7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5.7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5.7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5.7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5.7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5.7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5.7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5.7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5.7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5.7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5.7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5.7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5.7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5.7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5.7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5.7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5.7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5.7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5.7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5.7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5.7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5.7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5.7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5.7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5.7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5.7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5.7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5.7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5.7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5.7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5.7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5.7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5.7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5.7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5.7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5.7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5.7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5.7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5.7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5.7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5.7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5.7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5.7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5.7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5.7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5.7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5.7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5.7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5.7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5.7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5.7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5.7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5.7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5.7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5.7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5.7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5.7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5.7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5.7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5.7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5.7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5.7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5.7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5.7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5.7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5.7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5.7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5.7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5.7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5.7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5.7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5.7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5.7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5.7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5.7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5.7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5.7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5.7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5.7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5.7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5.7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5.7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5.7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5.7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5.7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5.7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5.7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5.7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5.7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5.7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5.7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5.7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5.7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5.7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5.7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5.7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5.7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5.7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5.7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5.7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5.7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5.7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5.7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5.7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5.7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5.7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5.7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5.7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5.7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5.7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5.7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5.7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5.7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5.7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5.7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5.7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5.7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5.7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5.7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5.7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5.7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5.7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5.7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5.7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5.7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5.7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5.7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5.7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5.7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5.7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5.7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5.7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5.7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5.7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5.7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5.7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5.7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5.7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5.7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5.7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5.7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5.7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5.7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5.7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5.7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5.7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5.7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5.7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5.7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5.7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5.7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5.7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5.7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5.7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5.7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5.7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5.7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5.7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5.7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5.7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5.7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5.7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5.7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5.7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5.7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5.7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5.7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5.7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5.7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5.7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5.7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5.7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5.7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5.7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5.7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5.7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5.7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5.7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5.7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5.7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5.7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5.7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5.7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5.7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5.7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5.7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5.7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5.7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5.7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5.7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5.7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5.7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5.7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5.7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5.7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5.7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5.7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5.7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5.7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5.7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5.7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5.7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5.7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5.7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5.7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5.7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5.7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5.7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5.7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5.7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5.7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5.7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5.7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5.7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5.7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5.7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5.7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5.7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5.7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5.7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5.7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5.7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2">
    <mergeCell ref="B27:C30"/>
    <mergeCell ref="E27:F30"/>
  </mergeCells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Z1000"/>
  <sheetViews>
    <sheetView workbookViewId="0"/>
  </sheetViews>
  <sheetFormatPr baseColWidth="10" defaultColWidth="14.44140625" defaultRowHeight="15" customHeight="1"/>
  <cols>
    <col min="1" max="1" width="18.6640625" customWidth="1"/>
    <col min="2" max="6" width="10.6640625" customWidth="1"/>
    <col min="7" max="7" width="21.109375" customWidth="1"/>
    <col min="8" max="8" width="10.6640625" customWidth="1"/>
    <col min="9" max="9" width="11.88671875" customWidth="1"/>
    <col min="10" max="12" width="10.6640625" customWidth="1"/>
    <col min="13" max="13" width="23.109375" customWidth="1"/>
    <col min="14" max="14" width="10.6640625" customWidth="1"/>
    <col min="15" max="15" width="14" customWidth="1"/>
    <col min="16" max="26" width="10.6640625" customWidth="1"/>
  </cols>
  <sheetData>
    <row r="1" spans="1:26" ht="14.4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4.4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 t="s">
        <v>106</v>
      </c>
      <c r="N2" s="2">
        <v>125.1</v>
      </c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4.4">
      <c r="A3" s="78" t="s">
        <v>107</v>
      </c>
      <c r="B3" s="79"/>
      <c r="C3" s="79"/>
      <c r="D3" s="79"/>
      <c r="E3" s="79"/>
      <c r="F3" s="79"/>
      <c r="G3" s="79"/>
      <c r="H3" s="79"/>
      <c r="I3" s="79"/>
      <c r="J3" s="79"/>
      <c r="K3" s="80"/>
      <c r="M3" s="81" t="s">
        <v>108</v>
      </c>
      <c r="N3" s="82">
        <v>208</v>
      </c>
      <c r="O3" s="83">
        <f>N3*N2</f>
        <v>26020.799999999999</v>
      </c>
      <c r="Q3" s="84" t="s">
        <v>109</v>
      </c>
      <c r="R3" s="85"/>
    </row>
    <row r="4" spans="1:26" ht="14.4">
      <c r="A4" s="86"/>
      <c r="B4" s="87"/>
      <c r="C4" s="87"/>
      <c r="D4" s="87"/>
      <c r="E4" s="87"/>
      <c r="F4" s="87"/>
      <c r="G4" s="87"/>
      <c r="H4" s="87"/>
      <c r="I4" s="87"/>
      <c r="J4" s="87"/>
      <c r="K4" s="88"/>
      <c r="M4" s="89" t="s">
        <v>110</v>
      </c>
      <c r="N4" s="82">
        <v>20</v>
      </c>
      <c r="O4" s="83">
        <f>N4*25</f>
        <v>500</v>
      </c>
      <c r="Q4" s="43"/>
      <c r="R4" s="47"/>
    </row>
    <row r="5" spans="1:26" ht="14.4">
      <c r="A5" s="90" t="s">
        <v>111</v>
      </c>
      <c r="B5" s="87"/>
      <c r="C5" s="87"/>
      <c r="D5" s="91" t="s">
        <v>112</v>
      </c>
      <c r="E5" s="87"/>
      <c r="F5" s="87"/>
      <c r="G5" s="87"/>
      <c r="H5" s="87"/>
      <c r="I5" s="87"/>
      <c r="J5" s="87"/>
      <c r="K5" s="88"/>
      <c r="M5" s="89" t="s">
        <v>113</v>
      </c>
      <c r="N5" s="82">
        <v>32</v>
      </c>
      <c r="O5" s="83">
        <f>N5*N2*2</f>
        <v>8006.4</v>
      </c>
      <c r="Q5" s="92">
        <f>O10</f>
        <v>39678</v>
      </c>
      <c r="R5" s="47"/>
    </row>
    <row r="6" spans="1:26" ht="14.4">
      <c r="A6" s="86"/>
      <c r="B6" s="87"/>
      <c r="C6" s="87"/>
      <c r="D6" s="87"/>
      <c r="E6" s="87"/>
      <c r="F6" s="87"/>
      <c r="G6" s="87"/>
      <c r="H6" s="87"/>
      <c r="I6" s="87"/>
      <c r="J6" s="87"/>
      <c r="K6" s="88"/>
      <c r="M6" s="89" t="s">
        <v>114</v>
      </c>
      <c r="N6" s="82">
        <v>16</v>
      </c>
      <c r="O6" s="83">
        <f>N6*N2*2*25%</f>
        <v>1000.8</v>
      </c>
      <c r="Q6" s="43">
        <f>4519*7</f>
        <v>31633</v>
      </c>
      <c r="R6" s="47">
        <v>0</v>
      </c>
    </row>
    <row r="7" spans="1:26" ht="14.4">
      <c r="A7" s="90" t="s">
        <v>115</v>
      </c>
      <c r="B7" s="87"/>
      <c r="C7" s="87"/>
      <c r="D7" s="87"/>
      <c r="E7" s="87"/>
      <c r="F7" s="87"/>
      <c r="G7" s="87"/>
      <c r="H7" s="87"/>
      <c r="I7" s="87"/>
      <c r="J7" s="87"/>
      <c r="K7" s="88"/>
      <c r="M7" s="89" t="s">
        <v>116</v>
      </c>
      <c r="N7" s="82">
        <v>1</v>
      </c>
      <c r="O7" s="83">
        <v>1050</v>
      </c>
      <c r="Q7" s="93">
        <f>Q5-Q6</f>
        <v>8045</v>
      </c>
      <c r="R7" s="94">
        <f>Q7*0.1</f>
        <v>804.5</v>
      </c>
    </row>
    <row r="8" spans="1:26" ht="14.4">
      <c r="A8" s="90" t="s">
        <v>117</v>
      </c>
      <c r="B8" s="87"/>
      <c r="C8" s="87"/>
      <c r="D8" s="87"/>
      <c r="E8" s="87"/>
      <c r="F8" s="87"/>
      <c r="G8" s="87"/>
      <c r="H8" s="87"/>
      <c r="I8" s="87"/>
      <c r="J8" s="87"/>
      <c r="K8" s="88"/>
      <c r="M8" s="95" t="s">
        <v>118</v>
      </c>
      <c r="N8" s="82">
        <v>1</v>
      </c>
      <c r="O8" s="83">
        <v>3100</v>
      </c>
      <c r="Q8" s="92"/>
      <c r="R8" s="47">
        <v>805</v>
      </c>
    </row>
    <row r="9" spans="1:26" ht="14.4">
      <c r="A9" s="90" t="s">
        <v>119</v>
      </c>
      <c r="B9" s="87"/>
      <c r="C9" s="87"/>
      <c r="D9" s="87"/>
      <c r="E9" s="87"/>
      <c r="F9" s="87"/>
      <c r="G9" s="87"/>
      <c r="H9" s="87"/>
      <c r="I9" s="87"/>
      <c r="J9" s="87"/>
      <c r="K9" s="88"/>
      <c r="Q9" s="92">
        <f>O13</f>
        <v>7571.0880000000006</v>
      </c>
      <c r="R9" s="94">
        <f>Q9*0.1</f>
        <v>757.10880000000009</v>
      </c>
    </row>
    <row r="10" spans="1:26" ht="14.4">
      <c r="A10" s="90" t="s">
        <v>120</v>
      </c>
      <c r="B10" s="87"/>
      <c r="C10" s="87"/>
      <c r="D10" s="87"/>
      <c r="E10" s="87"/>
      <c r="F10" s="87"/>
      <c r="G10" s="87"/>
      <c r="H10" s="87"/>
      <c r="I10" s="87"/>
      <c r="J10" s="87"/>
      <c r="K10" s="88"/>
      <c r="M10" s="72" t="s">
        <v>121</v>
      </c>
      <c r="O10" s="83">
        <f>SUM(O3:O8)</f>
        <v>39678</v>
      </c>
      <c r="Q10" s="66"/>
      <c r="R10" s="96">
        <f>R8-R9</f>
        <v>47.891199999999913</v>
      </c>
    </row>
    <row r="11" spans="1:26" ht="14.4">
      <c r="A11" s="90" t="s">
        <v>122</v>
      </c>
      <c r="B11" s="87"/>
      <c r="C11" s="87"/>
      <c r="D11" s="87"/>
      <c r="E11" s="87"/>
      <c r="F11" s="87"/>
      <c r="G11" s="87"/>
      <c r="H11" s="87"/>
      <c r="I11" s="87"/>
      <c r="J11" s="87"/>
      <c r="K11" s="88"/>
    </row>
    <row r="12" spans="1:26" ht="14.4">
      <c r="A12" s="86"/>
      <c r="B12" s="87"/>
      <c r="C12" s="87"/>
      <c r="D12" s="87"/>
      <c r="E12" s="87"/>
      <c r="F12" s="87"/>
      <c r="G12" s="87"/>
      <c r="H12" s="87"/>
      <c r="I12" s="87"/>
      <c r="J12" s="87"/>
      <c r="K12" s="88"/>
      <c r="M12" s="72" t="s">
        <v>123</v>
      </c>
      <c r="O12" s="83">
        <f>O3+O4+O5+O6+O8</f>
        <v>38628</v>
      </c>
      <c r="Q12" s="2"/>
    </row>
    <row r="13" spans="1:26" ht="14.4">
      <c r="A13" s="90" t="s">
        <v>124</v>
      </c>
      <c r="B13" s="87"/>
      <c r="C13" s="87"/>
      <c r="D13" s="87"/>
      <c r="E13" s="87"/>
      <c r="F13" s="87"/>
      <c r="G13" s="87"/>
      <c r="H13" s="87"/>
      <c r="I13" s="87"/>
      <c r="J13" s="87"/>
      <c r="K13" s="88"/>
      <c r="L13" s="82">
        <v>19.600000000000001</v>
      </c>
      <c r="M13" s="2" t="s">
        <v>125</v>
      </c>
      <c r="O13" s="97">
        <f>O12*0.196</f>
        <v>7571.0880000000006</v>
      </c>
    </row>
    <row r="14" spans="1:26" ht="14.4">
      <c r="A14" s="86"/>
      <c r="B14" s="87"/>
      <c r="C14" s="87"/>
      <c r="D14" s="87"/>
      <c r="E14" s="87"/>
      <c r="F14" s="87"/>
      <c r="G14" s="87"/>
      <c r="H14" s="87"/>
      <c r="I14" s="87"/>
      <c r="J14" s="87"/>
      <c r="K14" s="88"/>
      <c r="M14" s="72" t="s">
        <v>126</v>
      </c>
      <c r="N14" s="2"/>
      <c r="O14" s="97">
        <v>48</v>
      </c>
    </row>
    <row r="15" spans="1:26" ht="14.4">
      <c r="A15" s="98" t="s">
        <v>127</v>
      </c>
      <c r="B15" s="99"/>
      <c r="C15" s="99"/>
      <c r="D15" s="99"/>
      <c r="E15" s="99"/>
      <c r="F15" s="99"/>
      <c r="G15" s="99"/>
      <c r="H15" s="99"/>
      <c r="I15" s="99"/>
      <c r="J15" s="99"/>
      <c r="K15" s="100"/>
      <c r="M15" s="101" t="s">
        <v>128</v>
      </c>
      <c r="N15" s="63"/>
      <c r="O15" s="102">
        <f>O12-O13-O14+O7</f>
        <v>32058.912</v>
      </c>
    </row>
    <row r="16" spans="1:26" ht="14.4">
      <c r="A16" s="103"/>
      <c r="B16" s="103"/>
      <c r="C16" s="103"/>
      <c r="D16" s="103"/>
      <c r="E16" s="103"/>
      <c r="F16" s="103"/>
      <c r="G16" s="103"/>
      <c r="H16" s="103"/>
      <c r="I16" s="103"/>
      <c r="J16" s="103"/>
      <c r="K16" s="103"/>
      <c r="L16" s="103"/>
      <c r="M16" s="103"/>
      <c r="N16" s="103"/>
      <c r="O16" s="103"/>
      <c r="P16" s="103"/>
      <c r="Q16" s="103"/>
      <c r="R16" s="103"/>
      <c r="S16" s="103"/>
    </row>
    <row r="17" spans="1:19" ht="14.4">
      <c r="A17" s="104" t="s">
        <v>129</v>
      </c>
      <c r="B17" s="105"/>
      <c r="C17" s="105"/>
      <c r="D17" s="105"/>
      <c r="E17" s="105"/>
      <c r="F17" s="105"/>
      <c r="G17" s="105"/>
      <c r="H17" s="105"/>
      <c r="I17" s="105"/>
      <c r="J17" s="105"/>
      <c r="K17" s="106"/>
      <c r="M17" s="72" t="s">
        <v>130</v>
      </c>
      <c r="N17" s="82">
        <v>45000</v>
      </c>
    </row>
    <row r="18" spans="1:19" ht="14.4">
      <c r="A18" s="107"/>
      <c r="B18" s="108"/>
      <c r="C18" s="108"/>
      <c r="D18" s="108"/>
      <c r="E18" s="108"/>
      <c r="F18" s="108"/>
      <c r="G18" s="108"/>
      <c r="H18" s="108"/>
      <c r="I18" s="108"/>
      <c r="J18" s="108"/>
      <c r="K18" s="109"/>
      <c r="M18" s="72" t="s">
        <v>131</v>
      </c>
      <c r="N18" s="82">
        <f>N17/30</f>
        <v>1500</v>
      </c>
    </row>
    <row r="19" spans="1:19" ht="14.4">
      <c r="A19" s="90" t="s">
        <v>132</v>
      </c>
      <c r="B19" s="108"/>
      <c r="C19" s="108"/>
      <c r="D19" s="108"/>
      <c r="E19" s="108"/>
      <c r="F19" s="108"/>
      <c r="G19" s="108"/>
      <c r="H19" s="108"/>
      <c r="I19" s="108"/>
      <c r="J19" s="108"/>
      <c r="K19" s="109"/>
      <c r="M19" s="81" t="s">
        <v>133</v>
      </c>
      <c r="O19" s="82">
        <v>10500</v>
      </c>
      <c r="Q19" s="84" t="s">
        <v>109</v>
      </c>
      <c r="R19" s="85"/>
    </row>
    <row r="20" spans="1:19" ht="14.4">
      <c r="A20" s="90" t="s">
        <v>134</v>
      </c>
      <c r="B20" s="108"/>
      <c r="C20" s="108"/>
      <c r="D20" s="108"/>
      <c r="E20" s="108"/>
      <c r="F20" s="108"/>
      <c r="G20" s="108"/>
      <c r="H20" s="108"/>
      <c r="I20" s="108"/>
      <c r="J20" s="108"/>
      <c r="K20" s="109"/>
      <c r="M20" s="95" t="s">
        <v>135</v>
      </c>
      <c r="N20" s="82">
        <v>5</v>
      </c>
      <c r="O20" s="110">
        <f>N18*N20</f>
        <v>7500</v>
      </c>
      <c r="Q20" s="43"/>
      <c r="R20" s="47"/>
    </row>
    <row r="21" spans="1:19" ht="15.75" customHeight="1">
      <c r="A21" s="90" t="s">
        <v>136</v>
      </c>
      <c r="B21" s="108"/>
      <c r="C21" s="108"/>
      <c r="D21" s="108"/>
      <c r="E21" s="108"/>
      <c r="F21" s="108"/>
      <c r="G21" s="108"/>
      <c r="H21" s="108"/>
      <c r="I21" s="108"/>
      <c r="J21" s="108"/>
      <c r="K21" s="109"/>
      <c r="Q21" s="92">
        <f>O24*1.06</f>
        <v>50880</v>
      </c>
      <c r="R21" s="47"/>
    </row>
    <row r="22" spans="1:19" ht="15.75" customHeight="1">
      <c r="A22" s="107"/>
      <c r="B22" s="108"/>
      <c r="C22" s="108"/>
      <c r="D22" s="108"/>
      <c r="E22" s="108"/>
      <c r="F22" s="108"/>
      <c r="G22" s="108"/>
      <c r="H22" s="108"/>
      <c r="I22" s="108"/>
      <c r="J22" s="108"/>
      <c r="K22" s="109"/>
      <c r="M22" s="72" t="s">
        <v>121</v>
      </c>
      <c r="O22" s="82">
        <f>N17+O19-O20</f>
        <v>48000</v>
      </c>
      <c r="Q22" s="43">
        <f>4519*7</f>
        <v>31633</v>
      </c>
      <c r="R22" s="47">
        <v>0</v>
      </c>
    </row>
    <row r="23" spans="1:19" ht="15.75" customHeight="1">
      <c r="A23" s="90" t="s">
        <v>137</v>
      </c>
      <c r="B23" s="108"/>
      <c r="C23" s="108"/>
      <c r="D23" s="108"/>
      <c r="E23" s="108"/>
      <c r="F23" s="108"/>
      <c r="G23" s="108"/>
      <c r="H23" s="108"/>
      <c r="I23" s="108"/>
      <c r="J23" s="108"/>
      <c r="K23" s="109"/>
      <c r="Q23" s="43">
        <f>4519*3</f>
        <v>13557</v>
      </c>
      <c r="R23" s="47">
        <f>Q23*0.1</f>
        <v>1355.7</v>
      </c>
    </row>
    <row r="24" spans="1:19" ht="15.75" customHeight="1">
      <c r="A24" s="107"/>
      <c r="B24" s="108"/>
      <c r="C24" s="108"/>
      <c r="D24" s="108"/>
      <c r="E24" s="108"/>
      <c r="F24" s="108"/>
      <c r="G24" s="108"/>
      <c r="H24" s="108"/>
      <c r="I24" s="108"/>
      <c r="J24" s="108"/>
      <c r="K24" s="109"/>
      <c r="M24" s="72" t="s">
        <v>123</v>
      </c>
      <c r="O24" s="82">
        <f>O22</f>
        <v>48000</v>
      </c>
      <c r="Q24" s="93">
        <f>Q21-Q22-Q23</f>
        <v>5690</v>
      </c>
      <c r="R24" s="94">
        <f>Q24*0.15</f>
        <v>853.5</v>
      </c>
    </row>
    <row r="25" spans="1:19" ht="15.75" customHeight="1">
      <c r="A25" s="98" t="s">
        <v>138</v>
      </c>
      <c r="B25" s="111"/>
      <c r="C25" s="111"/>
      <c r="D25" s="111"/>
      <c r="E25" s="111"/>
      <c r="F25" s="111"/>
      <c r="G25" s="111"/>
      <c r="H25" s="111"/>
      <c r="I25" s="111"/>
      <c r="J25" s="111"/>
      <c r="K25" s="112"/>
      <c r="L25" s="82">
        <v>21.1</v>
      </c>
      <c r="M25" s="2" t="s">
        <v>125</v>
      </c>
      <c r="O25" s="110">
        <f>O24*0.211</f>
        <v>10128</v>
      </c>
      <c r="Q25" s="92"/>
      <c r="R25" s="94">
        <f>R23+R24</f>
        <v>2209.1999999999998</v>
      </c>
    </row>
    <row r="26" spans="1:19" ht="15.75" customHeight="1">
      <c r="M26" s="72" t="s">
        <v>126</v>
      </c>
      <c r="O26" s="110">
        <v>952</v>
      </c>
      <c r="P26" s="83"/>
      <c r="Q26" s="92">
        <f>O25+2448</f>
        <v>12576</v>
      </c>
      <c r="R26" s="94">
        <f>Q26*0.1</f>
        <v>1257.6000000000001</v>
      </c>
    </row>
    <row r="27" spans="1:19" ht="15.75" customHeight="1">
      <c r="M27" s="63" t="s">
        <v>128</v>
      </c>
      <c r="O27" s="63">
        <f>O24-O25-O26</f>
        <v>36920</v>
      </c>
      <c r="Q27" s="66"/>
      <c r="R27" s="96">
        <f>R25-R26</f>
        <v>951.59999999999968</v>
      </c>
    </row>
    <row r="28" spans="1:19" ht="15.75" customHeight="1">
      <c r="A28" s="103"/>
      <c r="B28" s="103"/>
      <c r="C28" s="103"/>
      <c r="D28" s="103"/>
      <c r="E28" s="103"/>
      <c r="F28" s="103"/>
      <c r="G28" s="103"/>
      <c r="H28" s="103"/>
      <c r="I28" s="103"/>
      <c r="J28" s="103"/>
      <c r="K28" s="103"/>
      <c r="L28" s="103"/>
      <c r="M28" s="103"/>
      <c r="N28" s="103"/>
      <c r="O28" s="103"/>
      <c r="P28" s="103"/>
      <c r="Q28" s="103"/>
      <c r="R28" s="103"/>
      <c r="S28" s="103"/>
    </row>
    <row r="29" spans="1:19" ht="15.75" customHeight="1">
      <c r="A29" s="113" t="s">
        <v>139</v>
      </c>
      <c r="B29" s="105"/>
      <c r="C29" s="105"/>
      <c r="D29" s="105"/>
      <c r="E29" s="105"/>
      <c r="F29" s="105"/>
      <c r="G29" s="105"/>
      <c r="H29" s="105"/>
      <c r="I29" s="105"/>
      <c r="J29" s="105"/>
      <c r="K29" s="106"/>
      <c r="M29" s="2" t="s">
        <v>106</v>
      </c>
      <c r="N29" s="82">
        <v>99.08</v>
      </c>
    </row>
    <row r="30" spans="1:19" ht="15.75" customHeight="1">
      <c r="A30" s="107"/>
      <c r="B30" s="108"/>
      <c r="C30" s="108"/>
      <c r="D30" s="108"/>
      <c r="E30" s="108"/>
      <c r="F30" s="108"/>
      <c r="G30" s="108"/>
      <c r="H30" s="108"/>
      <c r="I30" s="108"/>
      <c r="J30" s="108"/>
      <c r="K30" s="109"/>
    </row>
    <row r="31" spans="1:19" ht="15.75" customHeight="1">
      <c r="A31" s="90" t="s">
        <v>140</v>
      </c>
      <c r="B31" s="108"/>
      <c r="C31" s="108"/>
      <c r="D31" s="108"/>
      <c r="E31" s="91" t="s">
        <v>141</v>
      </c>
      <c r="F31" s="108"/>
      <c r="G31" s="108"/>
      <c r="H31" s="108"/>
      <c r="I31" s="108"/>
      <c r="J31" s="108"/>
      <c r="K31" s="109"/>
      <c r="M31" s="114" t="s">
        <v>108</v>
      </c>
      <c r="N31" s="82">
        <v>150</v>
      </c>
      <c r="O31" s="82">
        <f>N31*N29</f>
        <v>14862</v>
      </c>
    </row>
    <row r="32" spans="1:19" ht="15.75" customHeight="1">
      <c r="A32" s="90" t="s">
        <v>142</v>
      </c>
      <c r="B32" s="108"/>
      <c r="C32" s="108"/>
      <c r="D32" s="108"/>
      <c r="E32" s="108"/>
      <c r="F32" s="108"/>
      <c r="G32" s="108"/>
      <c r="H32" s="108"/>
      <c r="I32" s="108"/>
      <c r="J32" s="108"/>
      <c r="K32" s="109"/>
      <c r="M32" s="115" t="s">
        <v>113</v>
      </c>
      <c r="N32" s="82">
        <v>7</v>
      </c>
      <c r="O32" s="82">
        <f>N32*N29*2</f>
        <v>1387.12</v>
      </c>
    </row>
    <row r="33" spans="1:19" ht="15.75" customHeight="1">
      <c r="A33" s="90" t="s">
        <v>143</v>
      </c>
      <c r="B33" s="108"/>
      <c r="C33" s="108"/>
      <c r="D33" s="108"/>
      <c r="E33" s="108"/>
      <c r="F33" s="108"/>
      <c r="G33" s="108"/>
      <c r="H33" s="108"/>
      <c r="I33" s="108"/>
      <c r="J33" s="108"/>
      <c r="K33" s="109"/>
      <c r="M33" s="115" t="s">
        <v>144</v>
      </c>
      <c r="N33" s="82">
        <v>150</v>
      </c>
      <c r="O33" s="82">
        <f>O31*0.2</f>
        <v>2972.4</v>
      </c>
    </row>
    <row r="34" spans="1:19" ht="15.75" customHeight="1">
      <c r="A34" s="90" t="s">
        <v>145</v>
      </c>
      <c r="B34" s="108"/>
      <c r="C34" s="108"/>
      <c r="D34" s="108"/>
      <c r="E34" s="108"/>
      <c r="F34" s="108"/>
      <c r="G34" s="108"/>
      <c r="H34" s="108"/>
      <c r="I34" s="108"/>
      <c r="J34" s="108"/>
      <c r="K34" s="109"/>
      <c r="M34" s="115" t="s">
        <v>116</v>
      </c>
      <c r="N34" s="82">
        <v>1</v>
      </c>
      <c r="O34" s="82">
        <v>547</v>
      </c>
    </row>
    <row r="35" spans="1:19" ht="15.75" customHeight="1">
      <c r="A35" s="90" t="s">
        <v>146</v>
      </c>
      <c r="B35" s="108"/>
      <c r="C35" s="108"/>
      <c r="D35" s="108"/>
      <c r="E35" s="108"/>
      <c r="F35" s="108"/>
      <c r="G35" s="108"/>
      <c r="H35" s="108"/>
      <c r="I35" s="108"/>
      <c r="J35" s="108"/>
      <c r="K35" s="109"/>
      <c r="M35" s="115" t="s">
        <v>147</v>
      </c>
      <c r="N35" s="82">
        <v>1</v>
      </c>
      <c r="O35" s="82">
        <f>N29*8</f>
        <v>792.64</v>
      </c>
    </row>
    <row r="36" spans="1:19" ht="15.75" customHeight="1">
      <c r="A36" s="107"/>
      <c r="B36" s="108"/>
      <c r="C36" s="108"/>
      <c r="D36" s="108"/>
      <c r="E36" s="108"/>
      <c r="F36" s="108"/>
      <c r="G36" s="108"/>
      <c r="H36" s="108"/>
      <c r="I36" s="108"/>
      <c r="J36" s="108"/>
      <c r="K36" s="109"/>
      <c r="M36" s="115" t="s">
        <v>148</v>
      </c>
      <c r="N36" s="82">
        <v>20</v>
      </c>
      <c r="O36" s="82">
        <f>O35+250</f>
        <v>1042.6399999999999</v>
      </c>
      <c r="P36" s="83">
        <f t="shared" ref="P36:P37" si="0">O36*N36</f>
        <v>20852.799999999996</v>
      </c>
    </row>
    <row r="37" spans="1:19" ht="15.75" customHeight="1">
      <c r="A37" s="90" t="s">
        <v>149</v>
      </c>
      <c r="B37" s="108"/>
      <c r="C37" s="108"/>
      <c r="D37" s="108"/>
      <c r="E37" s="108"/>
      <c r="F37" s="108"/>
      <c r="G37" s="108"/>
      <c r="H37" s="108"/>
      <c r="I37" s="108"/>
      <c r="J37" s="108"/>
      <c r="K37" s="109"/>
      <c r="M37" s="116" t="s">
        <v>150</v>
      </c>
      <c r="N37" s="2">
        <v>20</v>
      </c>
      <c r="O37" s="83">
        <f>O36-N38</f>
        <v>838.28255999999988</v>
      </c>
      <c r="P37" s="83">
        <f t="shared" si="0"/>
        <v>16765.651199999997</v>
      </c>
    </row>
    <row r="38" spans="1:19" ht="15.75" customHeight="1">
      <c r="A38" s="90" t="s">
        <v>151</v>
      </c>
      <c r="B38" s="108"/>
      <c r="C38" s="108"/>
      <c r="D38" s="108"/>
      <c r="E38" s="108"/>
      <c r="F38" s="108"/>
      <c r="G38" s="108"/>
      <c r="H38" s="108"/>
      <c r="I38" s="108"/>
      <c r="J38" s="108"/>
      <c r="K38" s="109"/>
      <c r="M38" s="117" t="s">
        <v>152</v>
      </c>
      <c r="N38" s="118">
        <f>O36*0.196</f>
        <v>204.35744</v>
      </c>
    </row>
    <row r="39" spans="1:19" ht="15.75" customHeight="1">
      <c r="A39" s="107"/>
      <c r="B39" s="108"/>
      <c r="C39" s="108"/>
      <c r="D39" s="108"/>
      <c r="E39" s="108"/>
      <c r="F39" s="108"/>
      <c r="G39" s="108"/>
      <c r="H39" s="108"/>
      <c r="I39" s="108"/>
      <c r="J39" s="108"/>
      <c r="K39" s="109"/>
    </row>
    <row r="40" spans="1:19" ht="15.75" customHeight="1">
      <c r="A40" s="98" t="s">
        <v>153</v>
      </c>
      <c r="B40" s="111"/>
      <c r="C40" s="111"/>
      <c r="D40" s="111"/>
      <c r="E40" s="111"/>
      <c r="F40" s="111"/>
      <c r="G40" s="111"/>
      <c r="H40" s="111"/>
      <c r="I40" s="111"/>
      <c r="J40" s="111"/>
      <c r="K40" s="112"/>
      <c r="O40" s="119" t="s">
        <v>154</v>
      </c>
      <c r="P40" s="120">
        <f>O31+O32+O33+O34+O35</f>
        <v>20561.16</v>
      </c>
    </row>
    <row r="41" spans="1:19" ht="15.75" customHeight="1">
      <c r="A41" s="103"/>
      <c r="B41" s="103"/>
      <c r="C41" s="103"/>
      <c r="D41" s="103"/>
      <c r="E41" s="103"/>
      <c r="F41" s="103"/>
      <c r="G41" s="103"/>
      <c r="H41" s="103"/>
      <c r="I41" s="103"/>
      <c r="J41" s="103"/>
      <c r="K41" s="103"/>
      <c r="L41" s="103"/>
      <c r="M41" s="103"/>
      <c r="N41" s="103"/>
      <c r="O41" s="103"/>
      <c r="P41" s="103"/>
      <c r="Q41" s="103"/>
      <c r="R41" s="103"/>
      <c r="S41" s="103"/>
    </row>
    <row r="42" spans="1:19" ht="15.75" customHeight="1">
      <c r="A42" s="113" t="s">
        <v>155</v>
      </c>
      <c r="B42" s="105"/>
      <c r="C42" s="105"/>
      <c r="D42" s="105"/>
      <c r="E42" s="105"/>
      <c r="F42" s="105"/>
      <c r="G42" s="105"/>
      <c r="H42" s="105"/>
      <c r="I42" s="105"/>
      <c r="J42" s="105"/>
      <c r="K42" s="106"/>
      <c r="M42" s="81" t="s">
        <v>156</v>
      </c>
      <c r="N42" s="82">
        <v>50000</v>
      </c>
      <c r="O42" s="121">
        <f>N42/30</f>
        <v>1666.6666666666667</v>
      </c>
    </row>
    <row r="43" spans="1:19" ht="15.75" customHeight="1">
      <c r="A43" s="90" t="s">
        <v>157</v>
      </c>
      <c r="B43" s="108"/>
      <c r="C43" s="108"/>
      <c r="D43" s="108"/>
      <c r="E43" s="108"/>
      <c r="F43" s="108"/>
      <c r="G43" s="108"/>
      <c r="H43" s="108"/>
      <c r="I43" s="108"/>
      <c r="J43" s="108"/>
      <c r="K43" s="109"/>
      <c r="M43" s="89" t="s">
        <v>158</v>
      </c>
      <c r="N43" s="110">
        <v>-26667</v>
      </c>
      <c r="O43" s="122"/>
    </row>
    <row r="44" spans="1:19" ht="15.75" customHeight="1">
      <c r="A44" s="90" t="s">
        <v>159</v>
      </c>
      <c r="B44" s="108"/>
      <c r="C44" s="108"/>
      <c r="D44" s="108"/>
      <c r="E44" s="108"/>
      <c r="F44" s="108"/>
      <c r="G44" s="108"/>
      <c r="H44" s="108"/>
      <c r="I44" s="108"/>
      <c r="J44" s="108"/>
      <c r="K44" s="109"/>
      <c r="M44" s="89" t="s">
        <v>116</v>
      </c>
      <c r="N44" s="82">
        <v>5000</v>
      </c>
      <c r="O44" s="82">
        <v>5000</v>
      </c>
    </row>
    <row r="45" spans="1:19" ht="15.75" customHeight="1">
      <c r="A45" s="98" t="s">
        <v>160</v>
      </c>
      <c r="B45" s="111"/>
      <c r="C45" s="111"/>
      <c r="D45" s="111"/>
      <c r="E45" s="111"/>
      <c r="F45" s="111"/>
      <c r="G45" s="111"/>
      <c r="H45" s="111"/>
      <c r="I45" s="111"/>
      <c r="J45" s="111"/>
      <c r="K45" s="112"/>
      <c r="M45" s="95" t="s">
        <v>161</v>
      </c>
      <c r="N45" s="82">
        <v>3000</v>
      </c>
      <c r="O45" s="82">
        <f>N45/30*14</f>
        <v>1400</v>
      </c>
    </row>
    <row r="46" spans="1:19" ht="15.75" customHeight="1"/>
    <row r="47" spans="1:19" ht="15.75" customHeight="1">
      <c r="M47" s="101" t="s">
        <v>162</v>
      </c>
      <c r="N47" s="63" t="s">
        <v>163</v>
      </c>
      <c r="O47" s="63"/>
      <c r="P47" s="63" t="s">
        <v>164</v>
      </c>
    </row>
    <row r="48" spans="1:19" ht="15.75" customHeight="1">
      <c r="M48" s="123">
        <f>N42+N43+O45</f>
        <v>24733</v>
      </c>
      <c r="N48" s="63">
        <f>N42+N45</f>
        <v>53000</v>
      </c>
      <c r="O48" s="63"/>
      <c r="P48" s="63">
        <f>(M48+N48)/12</f>
        <v>6477.75</v>
      </c>
    </row>
    <row r="49" spans="1:19" ht="15.75" customHeight="1">
      <c r="A49" s="103"/>
      <c r="B49" s="103"/>
      <c r="C49" s="103"/>
      <c r="D49" s="103"/>
      <c r="E49" s="103"/>
      <c r="F49" s="103"/>
      <c r="G49" s="103"/>
      <c r="H49" s="103"/>
      <c r="I49" s="103"/>
      <c r="J49" s="103"/>
      <c r="K49" s="103"/>
      <c r="L49" s="103"/>
      <c r="M49" s="103"/>
      <c r="N49" s="103"/>
      <c r="O49" s="103"/>
      <c r="P49" s="103"/>
      <c r="Q49" s="103"/>
      <c r="R49" s="103"/>
      <c r="S49" s="103"/>
    </row>
    <row r="50" spans="1:19" ht="15.75" customHeight="1">
      <c r="A50" s="113" t="s">
        <v>165</v>
      </c>
      <c r="B50" s="105"/>
      <c r="C50" s="105"/>
      <c r="D50" s="105"/>
      <c r="E50" s="105"/>
      <c r="F50" s="105"/>
      <c r="G50" s="105"/>
      <c r="H50" s="105"/>
      <c r="I50" s="105"/>
      <c r="J50" s="105"/>
      <c r="K50" s="106"/>
      <c r="M50" s="2" t="s">
        <v>166</v>
      </c>
      <c r="N50" s="82">
        <v>120.1</v>
      </c>
    </row>
    <row r="51" spans="1:19" ht="15.75" customHeight="1">
      <c r="A51" s="90" t="s">
        <v>167</v>
      </c>
      <c r="B51" s="108"/>
      <c r="C51" s="108"/>
      <c r="D51" s="108"/>
      <c r="E51" s="108"/>
      <c r="F51" s="108"/>
      <c r="G51" s="108"/>
      <c r="H51" s="108"/>
      <c r="I51" s="108"/>
      <c r="J51" s="108"/>
      <c r="K51" s="109"/>
      <c r="N51" s="124" t="s">
        <v>168</v>
      </c>
      <c r="O51" s="124" t="s">
        <v>169</v>
      </c>
      <c r="P51" s="124" t="s">
        <v>170</v>
      </c>
      <c r="Q51" s="124" t="s">
        <v>171</v>
      </c>
    </row>
    <row r="52" spans="1:19" ht="15.75" customHeight="1">
      <c r="A52" s="90" t="s">
        <v>172</v>
      </c>
      <c r="B52" s="108"/>
      <c r="C52" s="108"/>
      <c r="D52" s="108"/>
      <c r="E52" s="108"/>
      <c r="F52" s="108"/>
      <c r="G52" s="108"/>
      <c r="H52" s="108"/>
      <c r="I52" s="108"/>
      <c r="J52" s="108"/>
      <c r="K52" s="109"/>
      <c r="M52" s="124" t="s">
        <v>173</v>
      </c>
      <c r="N52" s="125">
        <f>N50*200</f>
        <v>24020</v>
      </c>
      <c r="O52" s="125">
        <v>530</v>
      </c>
      <c r="P52" s="125"/>
      <c r="Q52" s="125">
        <f>N52+O52</f>
        <v>24550</v>
      </c>
    </row>
    <row r="53" spans="1:19" ht="15.75" customHeight="1">
      <c r="A53" s="90" t="s">
        <v>174</v>
      </c>
      <c r="B53" s="108"/>
      <c r="C53" s="108"/>
      <c r="D53" s="108"/>
      <c r="E53" s="108"/>
      <c r="F53" s="108"/>
      <c r="G53" s="108"/>
      <c r="H53" s="108"/>
      <c r="I53" s="108"/>
      <c r="J53" s="108"/>
      <c r="K53" s="109"/>
      <c r="M53" s="124" t="s">
        <v>175</v>
      </c>
      <c r="N53" s="125">
        <f>N50*208</f>
        <v>24980.799999999999</v>
      </c>
      <c r="O53" s="125">
        <v>530</v>
      </c>
      <c r="P53" s="125">
        <f>$N$50*32*2</f>
        <v>7686.4</v>
      </c>
      <c r="Q53" s="125">
        <f>N53+O53+P53</f>
        <v>33197.199999999997</v>
      </c>
    </row>
    <row r="54" spans="1:19" ht="15.75" customHeight="1">
      <c r="A54" s="98" t="s">
        <v>176</v>
      </c>
      <c r="B54" s="111"/>
      <c r="C54" s="111"/>
      <c r="D54" s="111"/>
      <c r="E54" s="111"/>
      <c r="F54" s="111"/>
      <c r="G54" s="111"/>
      <c r="H54" s="111"/>
      <c r="I54" s="111"/>
      <c r="J54" s="111"/>
      <c r="K54" s="112"/>
      <c r="M54" s="124" t="s">
        <v>177</v>
      </c>
      <c r="N54" s="125">
        <f>N50*192</f>
        <v>23059.199999999997</v>
      </c>
      <c r="O54" s="125">
        <v>530</v>
      </c>
      <c r="P54" s="125"/>
      <c r="Q54" s="125">
        <f>N54+O54</f>
        <v>23589.199999999997</v>
      </c>
    </row>
    <row r="55" spans="1:19" ht="15.75" customHeight="1">
      <c r="M55" s="124" t="s">
        <v>178</v>
      </c>
      <c r="N55" s="125">
        <f t="shared" ref="N55:N59" si="1">$N$50*200</f>
        <v>24020</v>
      </c>
      <c r="O55" s="125">
        <v>530</v>
      </c>
      <c r="P55" s="125">
        <f>$N$50*32*2</f>
        <v>7686.4</v>
      </c>
      <c r="Q55" s="125">
        <f>N55+O55+P55</f>
        <v>32236.400000000001</v>
      </c>
    </row>
    <row r="56" spans="1:19" ht="15.75" customHeight="1">
      <c r="M56" s="124" t="s">
        <v>179</v>
      </c>
      <c r="N56" s="125">
        <f t="shared" si="1"/>
        <v>24020</v>
      </c>
      <c r="O56" s="125">
        <v>530</v>
      </c>
      <c r="P56" s="125"/>
      <c r="Q56" s="125">
        <f>N56+O56</f>
        <v>24550</v>
      </c>
    </row>
    <row r="57" spans="1:19" ht="15.75" customHeight="1">
      <c r="M57" s="124" t="s">
        <v>180</v>
      </c>
      <c r="N57" s="125">
        <f t="shared" si="1"/>
        <v>24020</v>
      </c>
      <c r="O57" s="125">
        <v>530</v>
      </c>
      <c r="P57" s="125">
        <f>$N$50*32*2</f>
        <v>7686.4</v>
      </c>
      <c r="Q57" s="125">
        <f>N57+O57+P57</f>
        <v>32236.400000000001</v>
      </c>
    </row>
    <row r="58" spans="1:19" ht="15.75" customHeight="1">
      <c r="M58" s="124" t="s">
        <v>181</v>
      </c>
      <c r="N58" s="125">
        <f t="shared" si="1"/>
        <v>24020</v>
      </c>
      <c r="O58" s="125">
        <v>530</v>
      </c>
      <c r="P58" s="125"/>
      <c r="Q58" s="125">
        <f>N58+O58</f>
        <v>24550</v>
      </c>
    </row>
    <row r="59" spans="1:19" ht="15.75" customHeight="1">
      <c r="M59" s="124" t="s">
        <v>182</v>
      </c>
      <c r="N59" s="125">
        <f t="shared" si="1"/>
        <v>24020</v>
      </c>
      <c r="O59" s="125">
        <v>530</v>
      </c>
      <c r="P59" s="125">
        <f>$N$50*32*2</f>
        <v>7686.4</v>
      </c>
      <c r="Q59" s="125">
        <f>N59+O59+P59</f>
        <v>32236.400000000001</v>
      </c>
    </row>
    <row r="60" spans="1:19" ht="15.75" customHeight="1"/>
    <row r="61" spans="1:19" ht="15.75" customHeight="1">
      <c r="M61" s="126" t="s">
        <v>183</v>
      </c>
      <c r="N61" s="82">
        <f>(Q52+Q53)/12</f>
        <v>4812.2666666666664</v>
      </c>
    </row>
    <row r="62" spans="1:19" ht="15.75" customHeight="1">
      <c r="M62" s="126" t="s">
        <v>184</v>
      </c>
      <c r="N62" s="82">
        <f>(Q54+Q55+Q56+Q57+Q58+Q59)/12</f>
        <v>14116.533333333333</v>
      </c>
    </row>
    <row r="63" spans="1:19" ht="15.75" customHeight="1">
      <c r="A63" s="103"/>
      <c r="B63" s="103"/>
      <c r="C63" s="103"/>
      <c r="D63" s="103"/>
      <c r="E63" s="103"/>
      <c r="F63" s="103"/>
      <c r="G63" s="103"/>
      <c r="H63" s="103"/>
      <c r="I63" s="103"/>
      <c r="J63" s="103"/>
      <c r="K63" s="103"/>
      <c r="L63" s="103"/>
      <c r="M63" s="103"/>
      <c r="N63" s="103"/>
      <c r="O63" s="103"/>
      <c r="P63" s="103"/>
      <c r="Q63" s="103"/>
      <c r="R63" s="103"/>
      <c r="S63" s="103"/>
    </row>
    <row r="64" spans="1:19" ht="15.75" customHeight="1">
      <c r="A64" s="113" t="s">
        <v>185</v>
      </c>
      <c r="B64" s="105"/>
      <c r="C64" s="105"/>
      <c r="D64" s="105"/>
      <c r="E64" s="105"/>
      <c r="F64" s="105"/>
      <c r="G64" s="105"/>
      <c r="H64" s="105"/>
      <c r="I64" s="105"/>
      <c r="J64" s="105"/>
      <c r="K64" s="106"/>
      <c r="M64" s="2"/>
    </row>
    <row r="65" spans="1:19" ht="15.75" customHeight="1">
      <c r="A65" s="90" t="s">
        <v>186</v>
      </c>
      <c r="B65" s="108"/>
      <c r="C65" s="108"/>
      <c r="D65" s="108"/>
      <c r="E65" s="108"/>
      <c r="F65" s="108"/>
      <c r="G65" s="108"/>
      <c r="H65" s="108"/>
      <c r="I65" s="108"/>
      <c r="J65" s="108"/>
      <c r="K65" s="109"/>
      <c r="M65" s="2" t="s">
        <v>131</v>
      </c>
      <c r="N65" s="2">
        <f>30000/30</f>
        <v>1000</v>
      </c>
    </row>
    <row r="66" spans="1:19" ht="15.75" customHeight="1">
      <c r="A66" s="90" t="s">
        <v>187</v>
      </c>
      <c r="B66" s="108"/>
      <c r="C66" s="108"/>
      <c r="D66" s="108"/>
      <c r="E66" s="108"/>
      <c r="F66" s="108"/>
      <c r="G66" s="108"/>
      <c r="H66" s="108"/>
      <c r="I66" s="108"/>
      <c r="J66" s="108"/>
      <c r="K66" s="109"/>
      <c r="M66" s="2" t="s">
        <v>188</v>
      </c>
    </row>
    <row r="67" spans="1:19" ht="15.75" customHeight="1">
      <c r="A67" s="90" t="s">
        <v>189</v>
      </c>
      <c r="B67" s="108"/>
      <c r="C67" s="108"/>
      <c r="D67" s="108"/>
      <c r="E67" s="108"/>
      <c r="F67" s="108"/>
      <c r="G67" s="108"/>
      <c r="H67" s="108"/>
      <c r="I67" s="108"/>
      <c r="J67" s="108"/>
      <c r="K67" s="109"/>
      <c r="M67" s="82">
        <f>30000*6.07%</f>
        <v>1821.0000000000002</v>
      </c>
    </row>
    <row r="68" spans="1:19" ht="15.75" customHeight="1">
      <c r="A68" s="98" t="s">
        <v>190</v>
      </c>
      <c r="B68" s="111"/>
      <c r="C68" s="111"/>
      <c r="D68" s="111"/>
      <c r="E68" s="111"/>
      <c r="F68" s="111"/>
      <c r="G68" s="111"/>
      <c r="H68" s="111"/>
      <c r="I68" s="111"/>
      <c r="J68" s="111"/>
      <c r="K68" s="112"/>
    </row>
    <row r="69" spans="1:19" ht="15.75" customHeight="1"/>
    <row r="70" spans="1:19" ht="15.75" customHeight="1">
      <c r="B70" s="2" t="s">
        <v>191</v>
      </c>
      <c r="C70" s="2" t="s">
        <v>192</v>
      </c>
      <c r="D70" s="2" t="s">
        <v>173</v>
      </c>
      <c r="E70" s="2" t="s">
        <v>193</v>
      </c>
      <c r="F70" s="2" t="s">
        <v>194</v>
      </c>
      <c r="G70" s="2" t="s">
        <v>195</v>
      </c>
      <c r="H70" s="2" t="s">
        <v>179</v>
      </c>
      <c r="I70" s="2" t="s">
        <v>180</v>
      </c>
      <c r="J70" s="2" t="s">
        <v>181</v>
      </c>
      <c r="K70" s="2" t="s">
        <v>182</v>
      </c>
      <c r="L70" s="2" t="s">
        <v>196</v>
      </c>
      <c r="N70" s="2" t="s">
        <v>197</v>
      </c>
      <c r="O70" s="2" t="s">
        <v>198</v>
      </c>
      <c r="Q70" s="2" t="s">
        <v>131</v>
      </c>
    </row>
    <row r="71" spans="1:19" ht="15.75" customHeight="1">
      <c r="A71" s="127" t="s">
        <v>199</v>
      </c>
      <c r="B71" s="125">
        <f>30000-N65</f>
        <v>29000</v>
      </c>
      <c r="C71" s="125">
        <v>30000</v>
      </c>
      <c r="D71" s="125">
        <v>30000</v>
      </c>
      <c r="E71" s="125">
        <v>30000</v>
      </c>
      <c r="F71" s="125">
        <v>30000</v>
      </c>
      <c r="G71" s="125">
        <f t="shared" ref="G71:L71" si="2">30000+$M$67</f>
        <v>31821</v>
      </c>
      <c r="H71" s="125">
        <f t="shared" si="2"/>
        <v>31821</v>
      </c>
      <c r="I71" s="125">
        <f t="shared" si="2"/>
        <v>31821</v>
      </c>
      <c r="J71" s="125">
        <f t="shared" si="2"/>
        <v>31821</v>
      </c>
      <c r="K71" s="125">
        <f t="shared" si="2"/>
        <v>31821</v>
      </c>
      <c r="L71" s="125">
        <f t="shared" si="2"/>
        <v>31821</v>
      </c>
      <c r="N71" s="125">
        <f t="shared" ref="N71:N73" si="3">L71</f>
        <v>31821</v>
      </c>
      <c r="O71" s="82">
        <f>1.67*10</f>
        <v>16.7</v>
      </c>
      <c r="Q71" s="82">
        <f>+N71/30</f>
        <v>1060.7</v>
      </c>
    </row>
    <row r="72" spans="1:19" ht="15.75" customHeight="1">
      <c r="A72" s="127" t="s">
        <v>200</v>
      </c>
      <c r="B72" s="125">
        <v>5000</v>
      </c>
      <c r="C72" s="125">
        <v>5000</v>
      </c>
      <c r="D72" s="125">
        <v>5000</v>
      </c>
      <c r="E72" s="125">
        <v>5000</v>
      </c>
      <c r="F72" s="125">
        <v>5000</v>
      </c>
      <c r="G72" s="125">
        <v>5000</v>
      </c>
      <c r="H72" s="125">
        <v>5000</v>
      </c>
      <c r="I72" s="125">
        <v>5000</v>
      </c>
      <c r="J72" s="125">
        <v>5000</v>
      </c>
      <c r="K72" s="125">
        <v>5000</v>
      </c>
      <c r="L72" s="125">
        <v>5000</v>
      </c>
      <c r="N72" s="125">
        <f t="shared" si="3"/>
        <v>5000</v>
      </c>
      <c r="O72" s="83">
        <f>1.67*29/30</f>
        <v>1.6143333333333334</v>
      </c>
      <c r="Q72" s="2" t="s">
        <v>201</v>
      </c>
    </row>
    <row r="73" spans="1:19" ht="15.75" customHeight="1">
      <c r="A73" s="127" t="s">
        <v>202</v>
      </c>
      <c r="B73" s="125">
        <v>2000</v>
      </c>
      <c r="C73" s="125">
        <v>2000</v>
      </c>
      <c r="D73" s="125">
        <v>2000</v>
      </c>
      <c r="E73" s="125">
        <v>2000</v>
      </c>
      <c r="F73" s="125">
        <v>2000</v>
      </c>
      <c r="G73" s="125">
        <v>2000</v>
      </c>
      <c r="H73" s="125">
        <v>2000</v>
      </c>
      <c r="I73" s="125">
        <v>2000</v>
      </c>
      <c r="J73" s="125">
        <v>2000</v>
      </c>
      <c r="K73" s="125">
        <v>2000</v>
      </c>
      <c r="L73" s="125">
        <v>2000</v>
      </c>
      <c r="N73" s="125">
        <f t="shared" si="3"/>
        <v>2000</v>
      </c>
      <c r="O73" s="128">
        <f>O71+O72</f>
        <v>18.314333333333334</v>
      </c>
      <c r="P73" s="2" t="s">
        <v>203</v>
      </c>
      <c r="Q73" s="83">
        <f>(B72+C72+C74+D72+E72+F72+G72+G74+H72+I72+J72+K72)/12/30</f>
        <v>194.44444444444443</v>
      </c>
    </row>
    <row r="74" spans="1:19" ht="15.75" customHeight="1">
      <c r="A74" s="129" t="s">
        <v>204</v>
      </c>
      <c r="B74" s="130"/>
      <c r="C74" s="130">
        <v>10000</v>
      </c>
      <c r="D74" s="130"/>
      <c r="E74" s="130"/>
      <c r="F74" s="130"/>
      <c r="G74" s="130">
        <v>10000</v>
      </c>
      <c r="H74" s="130"/>
      <c r="I74" s="130"/>
      <c r="J74" s="130"/>
      <c r="K74" s="130"/>
      <c r="L74" s="130"/>
      <c r="N74" s="130"/>
    </row>
    <row r="75" spans="1:19" ht="15.75" customHeight="1">
      <c r="A75" s="131" t="s">
        <v>205</v>
      </c>
      <c r="B75" s="132">
        <f t="shared" ref="B75:L75" si="4">SUM(B71:B74)</f>
        <v>36000</v>
      </c>
      <c r="C75" s="132">
        <f t="shared" si="4"/>
        <v>47000</v>
      </c>
      <c r="D75" s="132">
        <f t="shared" si="4"/>
        <v>37000</v>
      </c>
      <c r="E75" s="132">
        <f t="shared" si="4"/>
        <v>37000</v>
      </c>
      <c r="F75" s="132">
        <f t="shared" si="4"/>
        <v>37000</v>
      </c>
      <c r="G75" s="132">
        <f t="shared" si="4"/>
        <v>48821</v>
      </c>
      <c r="H75" s="132">
        <f t="shared" si="4"/>
        <v>38821</v>
      </c>
      <c r="I75" s="132">
        <f t="shared" si="4"/>
        <v>38821</v>
      </c>
      <c r="J75" s="132">
        <f t="shared" si="4"/>
        <v>38821</v>
      </c>
      <c r="K75" s="132">
        <f t="shared" si="4"/>
        <v>38821</v>
      </c>
      <c r="L75" s="132">
        <f t="shared" si="4"/>
        <v>38821</v>
      </c>
      <c r="N75" s="132">
        <f>SUM(N71:N73)</f>
        <v>38821</v>
      </c>
      <c r="Q75" s="83">
        <f>Q71+Q73</f>
        <v>1255.1444444444444</v>
      </c>
    </row>
    <row r="76" spans="1:19" ht="15.75" customHeight="1">
      <c r="B76" s="82">
        <f>B71+B72</f>
        <v>34000</v>
      </c>
      <c r="C76" s="2">
        <f>C71+C72+C74</f>
        <v>45000</v>
      </c>
      <c r="D76" s="2">
        <f t="shared" ref="D76:F76" si="5">D71+D72</f>
        <v>35000</v>
      </c>
      <c r="E76" s="2">
        <f t="shared" si="5"/>
        <v>35000</v>
      </c>
      <c r="F76" s="2">
        <f t="shared" si="5"/>
        <v>35000</v>
      </c>
      <c r="G76" s="2">
        <f>G71+G72+G74</f>
        <v>46821</v>
      </c>
      <c r="H76" s="2">
        <f t="shared" ref="H76:L76" si="6">H71+H72</f>
        <v>36821</v>
      </c>
      <c r="I76" s="2">
        <f t="shared" si="6"/>
        <v>36821</v>
      </c>
      <c r="J76" s="2">
        <f t="shared" si="6"/>
        <v>36821</v>
      </c>
      <c r="K76" s="2">
        <f t="shared" si="6"/>
        <v>36821</v>
      </c>
      <c r="L76" s="2">
        <f t="shared" si="6"/>
        <v>36821</v>
      </c>
      <c r="P76" s="82" t="s">
        <v>206</v>
      </c>
      <c r="Q76" s="82">
        <f>Q75*O73</f>
        <v>22987.133737037038</v>
      </c>
    </row>
    <row r="77" spans="1:19" ht="15.75" customHeight="1">
      <c r="A77" s="133" t="s">
        <v>207</v>
      </c>
      <c r="B77" s="82">
        <f>(B76+C76+D76+E76)/12</f>
        <v>12416.666666666666</v>
      </c>
      <c r="P77" s="82" t="s">
        <v>125</v>
      </c>
      <c r="Q77" s="82">
        <f>Q76*0.196</f>
        <v>4505.4782124592593</v>
      </c>
    </row>
    <row r="78" spans="1:19" ht="15.75" customHeight="1">
      <c r="A78" s="134" t="s">
        <v>208</v>
      </c>
      <c r="B78" s="82">
        <f>(F76+G76+H76+I76+J76+K76)/12</f>
        <v>19092.083333333332</v>
      </c>
    </row>
    <row r="79" spans="1:19" ht="15.75" customHeight="1"/>
    <row r="80" spans="1:19" ht="15.75" customHeight="1">
      <c r="A80" s="103"/>
      <c r="B80" s="103"/>
      <c r="C80" s="103"/>
      <c r="D80" s="103"/>
      <c r="E80" s="103"/>
      <c r="F80" s="103"/>
      <c r="G80" s="103"/>
      <c r="H80" s="103"/>
      <c r="I80" s="103"/>
      <c r="J80" s="103"/>
      <c r="K80" s="103"/>
      <c r="L80" s="103"/>
      <c r="M80" s="103"/>
      <c r="N80" s="103"/>
      <c r="O80" s="103"/>
      <c r="P80" s="103"/>
      <c r="Q80" s="103"/>
      <c r="R80" s="103"/>
      <c r="S80" s="103"/>
    </row>
    <row r="81" spans="1:18" ht="15.75" customHeight="1">
      <c r="A81" s="113" t="s">
        <v>209</v>
      </c>
      <c r="B81" s="105"/>
      <c r="C81" s="105"/>
      <c r="D81" s="105"/>
      <c r="E81" s="105"/>
      <c r="F81" s="105"/>
      <c r="G81" s="105"/>
      <c r="H81" s="105"/>
      <c r="I81" s="105"/>
      <c r="J81" s="105"/>
      <c r="K81" s="106"/>
      <c r="M81" s="81" t="s">
        <v>210</v>
      </c>
      <c r="N81" s="82">
        <f>200*95.4</f>
        <v>19080</v>
      </c>
      <c r="P81" s="2" t="s">
        <v>211</v>
      </c>
      <c r="Q81" s="135">
        <f>(N81/30)+Q85</f>
        <v>652.19444444444446</v>
      </c>
      <c r="R81" s="135">
        <f>Q81*0.196</f>
        <v>127.83011111111112</v>
      </c>
    </row>
    <row r="82" spans="1:18" ht="15.75" customHeight="1">
      <c r="A82" s="90" t="s">
        <v>212</v>
      </c>
      <c r="B82" s="108"/>
      <c r="C82" s="108"/>
      <c r="D82" s="108"/>
      <c r="E82" s="108"/>
      <c r="F82" s="108"/>
      <c r="G82" s="108"/>
      <c r="H82" s="108"/>
      <c r="I82" s="108"/>
      <c r="J82" s="108"/>
      <c r="K82" s="109"/>
      <c r="M82" s="89" t="s">
        <v>161</v>
      </c>
      <c r="N82" s="82">
        <v>530</v>
      </c>
      <c r="P82" s="2" t="s">
        <v>213</v>
      </c>
      <c r="Q82" s="135">
        <f>Q81-R81</f>
        <v>524.36433333333332</v>
      </c>
    </row>
    <row r="83" spans="1:18" ht="15.75" customHeight="1">
      <c r="A83" s="90" t="s">
        <v>214</v>
      </c>
      <c r="B83" s="108"/>
      <c r="C83" s="108"/>
      <c r="D83" s="108"/>
      <c r="E83" s="108"/>
      <c r="F83" s="108"/>
      <c r="G83" s="108"/>
      <c r="H83" s="108"/>
      <c r="I83" s="108"/>
      <c r="J83" s="108"/>
      <c r="K83" s="109"/>
      <c r="M83" s="89" t="s">
        <v>215</v>
      </c>
      <c r="N83" s="135">
        <f t="shared" ref="N83:N84" si="7">Q81*21</f>
        <v>13696.083333333334</v>
      </c>
    </row>
    <row r="84" spans="1:18" ht="15.75" customHeight="1">
      <c r="A84" s="98" t="s">
        <v>216</v>
      </c>
      <c r="B84" s="111"/>
      <c r="C84" s="111"/>
      <c r="D84" s="111"/>
      <c r="E84" s="111"/>
      <c r="F84" s="111"/>
      <c r="G84" s="111"/>
      <c r="H84" s="111"/>
      <c r="I84" s="111"/>
      <c r="J84" s="111"/>
      <c r="K84" s="112"/>
      <c r="M84" s="89" t="s">
        <v>217</v>
      </c>
      <c r="N84" s="135">
        <f t="shared" si="7"/>
        <v>11011.651</v>
      </c>
      <c r="P84" s="2" t="s">
        <v>218</v>
      </c>
      <c r="Q84" s="82">
        <f>530*11</f>
        <v>5830</v>
      </c>
      <c r="R84" s="82">
        <f>530*12</f>
        <v>6360</v>
      </c>
    </row>
    <row r="85" spans="1:18" ht="15.75" customHeight="1">
      <c r="C85" s="2" t="s">
        <v>219</v>
      </c>
      <c r="G85" s="72"/>
      <c r="H85" s="72"/>
      <c r="I85" s="72"/>
      <c r="M85" s="89" t="s">
        <v>220</v>
      </c>
      <c r="N85" s="135">
        <f>(N81+N82)/12</f>
        <v>1634.1666666666667</v>
      </c>
      <c r="Q85" s="135">
        <f t="shared" ref="Q85:R85" si="8">Q84/30/12</f>
        <v>16.194444444444446</v>
      </c>
      <c r="R85" s="135">
        <f t="shared" si="8"/>
        <v>17.666666666666668</v>
      </c>
    </row>
    <row r="86" spans="1:18" ht="15.75" customHeight="1">
      <c r="D86" s="5">
        <v>40180</v>
      </c>
      <c r="E86" s="82">
        <v>1</v>
      </c>
      <c r="M86" s="95" t="s">
        <v>221</v>
      </c>
      <c r="N86" s="135">
        <f>N95</f>
        <v>138561.85061999998</v>
      </c>
    </row>
    <row r="87" spans="1:18" ht="15.75" customHeight="1">
      <c r="D87" s="5">
        <v>40545</v>
      </c>
      <c r="E87" s="82">
        <v>1</v>
      </c>
      <c r="G87" s="136" t="s">
        <v>79</v>
      </c>
      <c r="H87" s="137"/>
      <c r="I87" s="138">
        <f>N81</f>
        <v>19080</v>
      </c>
    </row>
    <row r="88" spans="1:18" ht="15.75" customHeight="1">
      <c r="D88" s="5">
        <v>40546</v>
      </c>
      <c r="E88" s="82">
        <v>2</v>
      </c>
      <c r="G88" s="139" t="s">
        <v>222</v>
      </c>
      <c r="H88" s="140"/>
      <c r="I88" s="141">
        <f>N85</f>
        <v>1634.1666666666667</v>
      </c>
      <c r="M88" s="136" t="s">
        <v>223</v>
      </c>
      <c r="N88" s="85"/>
      <c r="P88" s="2" t="s">
        <v>109</v>
      </c>
    </row>
    <row r="89" spans="1:18" ht="15.75" customHeight="1">
      <c r="D89" s="5">
        <v>40910</v>
      </c>
      <c r="E89" s="82">
        <v>2</v>
      </c>
      <c r="G89" s="139" t="s">
        <v>224</v>
      </c>
      <c r="H89" s="142">
        <v>20</v>
      </c>
      <c r="I89" s="141">
        <f t="shared" ref="I89:I90" si="9">K89*20</f>
        <v>13073.333333333332</v>
      </c>
      <c r="J89" s="2" t="s">
        <v>225</v>
      </c>
      <c r="K89" s="135">
        <f>(N81/30)+R85</f>
        <v>653.66666666666663</v>
      </c>
      <c r="L89" s="135">
        <f>K89*0.196</f>
        <v>128.11866666666666</v>
      </c>
      <c r="M89" s="139" t="s">
        <v>226</v>
      </c>
      <c r="N89" s="47">
        <f>N81</f>
        <v>19080</v>
      </c>
    </row>
    <row r="90" spans="1:18" ht="15.75" customHeight="1">
      <c r="D90" s="5">
        <v>40911</v>
      </c>
      <c r="E90" s="82">
        <v>3</v>
      </c>
      <c r="G90" s="139" t="s">
        <v>227</v>
      </c>
      <c r="H90" s="142">
        <v>20</v>
      </c>
      <c r="I90" s="141">
        <f t="shared" si="9"/>
        <v>10510.96</v>
      </c>
      <c r="J90" s="2" t="s">
        <v>228</v>
      </c>
      <c r="K90" s="135">
        <f>K89-L89</f>
        <v>525.548</v>
      </c>
      <c r="M90" s="139" t="s">
        <v>229</v>
      </c>
      <c r="N90" s="47">
        <f>N89/12</f>
        <v>1590</v>
      </c>
      <c r="P90" s="135">
        <f>N81+N82+N83+N84</f>
        <v>44317.734333333334</v>
      </c>
    </row>
    <row r="91" spans="1:18" ht="15.75" customHeight="1">
      <c r="D91" s="5">
        <v>41276</v>
      </c>
      <c r="E91" s="82">
        <v>3</v>
      </c>
      <c r="G91" s="139" t="s">
        <v>230</v>
      </c>
      <c r="H91" s="142">
        <v>21</v>
      </c>
      <c r="I91" s="141">
        <f t="shared" ref="I91:I92" si="10">N83</f>
        <v>13696.083333333334</v>
      </c>
      <c r="M91" s="139" t="s">
        <v>231</v>
      </c>
      <c r="N91" s="94">
        <f>Q85*30</f>
        <v>485.83333333333337</v>
      </c>
      <c r="P91" s="82">
        <f>4519*7</f>
        <v>31633</v>
      </c>
    </row>
    <row r="92" spans="1:18" ht="15.75" customHeight="1">
      <c r="D92" s="5">
        <v>41277</v>
      </c>
      <c r="E92" s="82">
        <v>4</v>
      </c>
      <c r="G92" s="139" t="s">
        <v>232</v>
      </c>
      <c r="H92" s="142">
        <v>21</v>
      </c>
      <c r="I92" s="141">
        <f t="shared" si="10"/>
        <v>11011.651</v>
      </c>
      <c r="M92" s="139" t="s">
        <v>233</v>
      </c>
      <c r="N92" s="94">
        <f>(N89/30)*1.67</f>
        <v>1062.1199999999999</v>
      </c>
      <c r="P92" s="135">
        <f>P90-P91</f>
        <v>12684.734333333334</v>
      </c>
      <c r="Q92" s="135">
        <f>P92*0.1</f>
        <v>1268.4734333333336</v>
      </c>
    </row>
    <row r="93" spans="1:18" ht="15.75" customHeight="1">
      <c r="D93" s="5">
        <v>41641</v>
      </c>
      <c r="E93" s="82">
        <v>4</v>
      </c>
      <c r="G93" s="139" t="s">
        <v>221</v>
      </c>
      <c r="H93" s="143"/>
      <c r="I93" s="141">
        <f>N86</f>
        <v>138561.85061999998</v>
      </c>
      <c r="M93" s="139" t="s">
        <v>234</v>
      </c>
      <c r="N93" s="94">
        <f>Q82*1.67</f>
        <v>875.68843666666658</v>
      </c>
      <c r="P93" s="135"/>
    </row>
    <row r="94" spans="1:18" ht="15.75" customHeight="1">
      <c r="D94" s="5">
        <v>41642</v>
      </c>
      <c r="E94" s="82">
        <v>5</v>
      </c>
      <c r="G94" s="144" t="s">
        <v>235</v>
      </c>
      <c r="H94" s="145"/>
      <c r="I94" s="146">
        <f>SUM(I87:I93)</f>
        <v>207568.04495333333</v>
      </c>
      <c r="M94" s="139" t="s">
        <v>235</v>
      </c>
      <c r="N94" s="94">
        <f>N89+N90+N91+N92+N93</f>
        <v>23093.641769999998</v>
      </c>
      <c r="P94" s="82">
        <f>(N81+N82)*0.196</f>
        <v>3843.56</v>
      </c>
      <c r="Q94" s="82">
        <f>P94*0.1</f>
        <v>384.35599999999999</v>
      </c>
    </row>
    <row r="95" spans="1:18" ht="15.75" customHeight="1">
      <c r="D95" s="5">
        <v>42006</v>
      </c>
      <c r="E95" s="82">
        <v>5</v>
      </c>
      <c r="G95" s="139" t="s">
        <v>236</v>
      </c>
      <c r="H95" s="147"/>
      <c r="I95" s="141">
        <f>(I87+I88)*0.19</f>
        <v>3935.6916666666671</v>
      </c>
      <c r="M95" s="148" t="s">
        <v>237</v>
      </c>
      <c r="N95" s="68">
        <f>N94*6</f>
        <v>138561.85061999998</v>
      </c>
      <c r="Q95" s="135">
        <f>Q92-Q94</f>
        <v>884.11743333333357</v>
      </c>
    </row>
    <row r="96" spans="1:18" ht="15.75" customHeight="1">
      <c r="D96" s="5">
        <v>42007</v>
      </c>
      <c r="E96" s="82">
        <v>6</v>
      </c>
      <c r="G96" s="139" t="s">
        <v>109</v>
      </c>
      <c r="H96" s="147"/>
      <c r="I96" s="141">
        <f>Q95</f>
        <v>884.11743333333357</v>
      </c>
    </row>
    <row r="97" spans="1:19" ht="15.75" customHeight="1">
      <c r="G97" s="149" t="s">
        <v>238</v>
      </c>
      <c r="H97" s="150"/>
      <c r="I97" s="151">
        <f>+I94-I95-I96</f>
        <v>202748.23585333332</v>
      </c>
    </row>
    <row r="98" spans="1:19" ht="15.75" customHeight="1"/>
    <row r="99" spans="1:19" ht="15.75" customHeight="1">
      <c r="A99" s="103"/>
      <c r="B99" s="103"/>
      <c r="C99" s="103"/>
      <c r="D99" s="103"/>
      <c r="E99" s="103"/>
      <c r="F99" s="103"/>
      <c r="G99" s="103"/>
      <c r="H99" s="103"/>
      <c r="I99" s="103"/>
      <c r="J99" s="103"/>
      <c r="K99" s="103"/>
      <c r="L99" s="103"/>
      <c r="M99" s="103"/>
      <c r="N99" s="103"/>
      <c r="O99" s="103"/>
      <c r="P99" s="103"/>
      <c r="Q99" s="103"/>
      <c r="R99" s="103"/>
      <c r="S99" s="103"/>
    </row>
    <row r="100" spans="1:19" ht="15.7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</row>
    <row r="101" spans="1:19" ht="15.75" customHeight="1">
      <c r="A101" s="152" t="s">
        <v>209</v>
      </c>
      <c r="B101" s="70"/>
      <c r="C101" s="70"/>
      <c r="D101" s="70"/>
      <c r="E101" s="70"/>
      <c r="F101" s="70"/>
      <c r="G101" s="70"/>
      <c r="H101" s="70"/>
      <c r="I101" s="153"/>
      <c r="J101" s="72"/>
      <c r="K101" s="72"/>
    </row>
    <row r="102" spans="1:19" ht="15.75" customHeight="1">
      <c r="A102" s="154" t="s">
        <v>212</v>
      </c>
      <c r="B102" s="72"/>
      <c r="C102" s="72"/>
      <c r="D102" s="72"/>
      <c r="E102" s="72"/>
      <c r="F102" s="72"/>
      <c r="G102" s="72"/>
      <c r="H102" s="72"/>
      <c r="I102" s="155"/>
      <c r="J102" s="72"/>
      <c r="K102" s="72"/>
    </row>
    <row r="103" spans="1:19" ht="15.75" customHeight="1">
      <c r="A103" s="154" t="s">
        <v>239</v>
      </c>
      <c r="B103" s="72"/>
      <c r="C103" s="72"/>
      <c r="D103" s="72"/>
      <c r="E103" s="72"/>
      <c r="F103" s="72"/>
      <c r="G103" s="72"/>
      <c r="H103" s="72"/>
      <c r="I103" s="155"/>
      <c r="J103" s="72"/>
      <c r="K103" s="72"/>
    </row>
    <row r="104" spans="1:19" ht="15.75" customHeight="1">
      <c r="A104" s="154" t="s">
        <v>240</v>
      </c>
      <c r="B104" s="72"/>
      <c r="C104" s="72"/>
      <c r="D104" s="72"/>
      <c r="E104" s="72"/>
      <c r="F104" s="72"/>
      <c r="G104" s="72"/>
      <c r="H104" s="72"/>
      <c r="I104" s="155"/>
      <c r="J104" s="72"/>
      <c r="K104" s="72"/>
    </row>
    <row r="105" spans="1:19" ht="15.75" customHeight="1">
      <c r="A105" s="154" t="s">
        <v>241</v>
      </c>
      <c r="B105" s="72"/>
      <c r="C105" s="72"/>
      <c r="D105" s="72"/>
      <c r="E105" s="72"/>
      <c r="F105" s="72"/>
      <c r="G105" s="72"/>
      <c r="H105" s="72"/>
      <c r="I105" s="155"/>
      <c r="J105" s="72"/>
      <c r="K105" s="72"/>
    </row>
    <row r="106" spans="1:19" ht="15.75" customHeight="1">
      <c r="A106" s="156" t="s">
        <v>242</v>
      </c>
      <c r="B106" s="157"/>
      <c r="C106" s="157"/>
      <c r="D106" s="157"/>
      <c r="E106" s="157"/>
      <c r="F106" s="157"/>
      <c r="G106" s="157"/>
      <c r="H106" s="157"/>
      <c r="I106" s="158"/>
      <c r="J106" s="72"/>
      <c r="K106" s="72"/>
    </row>
    <row r="107" spans="1:19" ht="15.7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</row>
    <row r="108" spans="1:19" ht="15.75" customHeight="1">
      <c r="A108" s="108"/>
      <c r="B108" s="108" t="s">
        <v>243</v>
      </c>
      <c r="C108" s="108" t="s">
        <v>244</v>
      </c>
      <c r="D108" s="108" t="s">
        <v>245</v>
      </c>
      <c r="E108" s="91" t="s">
        <v>246</v>
      </c>
      <c r="F108" s="2"/>
      <c r="G108" s="2" t="s">
        <v>156</v>
      </c>
      <c r="H108" s="135">
        <f>200*95.4</f>
        <v>19080</v>
      </c>
      <c r="I108" s="2">
        <v>95.4</v>
      </c>
      <c r="J108" s="2"/>
      <c r="K108" s="2"/>
    </row>
    <row r="109" spans="1:19" ht="15.75" customHeight="1">
      <c r="A109" s="159" t="s">
        <v>247</v>
      </c>
      <c r="B109" s="160">
        <f>H109</f>
        <v>20044.449000000001</v>
      </c>
      <c r="C109" s="160">
        <f>H109</f>
        <v>20044.449000000001</v>
      </c>
      <c r="D109" s="160">
        <f>H110</f>
        <v>22349.560635000002</v>
      </c>
      <c r="E109" s="160">
        <f>H110</f>
        <v>22349.560635000002</v>
      </c>
      <c r="F109" s="2"/>
      <c r="G109" s="2" t="s">
        <v>248</v>
      </c>
      <c r="H109" s="83">
        <f t="shared" ref="H109:H110" si="11">I109*200</f>
        <v>20044.449000000001</v>
      </c>
      <c r="I109" s="121">
        <f t="shared" ref="I109:I110" si="12">I108+J109</f>
        <v>100.222245</v>
      </c>
      <c r="J109" s="135">
        <f>95.49*5.05%</f>
        <v>4.8222449999999997</v>
      </c>
      <c r="K109" s="2"/>
    </row>
    <row r="110" spans="1:19" ht="15.75" customHeight="1">
      <c r="A110" s="159" t="s">
        <v>161</v>
      </c>
      <c r="B110" s="161">
        <v>530</v>
      </c>
      <c r="C110" s="108"/>
      <c r="D110" s="161">
        <v>530</v>
      </c>
      <c r="E110" s="161">
        <v>530</v>
      </c>
      <c r="G110" s="2" t="s">
        <v>249</v>
      </c>
      <c r="H110" s="83">
        <f t="shared" si="11"/>
        <v>22349.560635000002</v>
      </c>
      <c r="I110" s="121">
        <f t="shared" si="12"/>
        <v>111.747803175</v>
      </c>
      <c r="J110" s="135">
        <f>I109*11.5%</f>
        <v>11.525558175</v>
      </c>
    </row>
    <row r="111" spans="1:19" ht="15.75" customHeight="1">
      <c r="A111" s="159" t="s">
        <v>250</v>
      </c>
      <c r="B111" s="161">
        <v>5000</v>
      </c>
      <c r="C111" s="108"/>
      <c r="D111" s="108"/>
      <c r="E111" s="108"/>
    </row>
    <row r="112" spans="1:19" ht="15.75" customHeight="1">
      <c r="A112" s="91" t="s">
        <v>251</v>
      </c>
      <c r="B112" s="108"/>
      <c r="C112" s="108"/>
      <c r="D112" s="108"/>
      <c r="E112" s="161">
        <v>9000</v>
      </c>
    </row>
    <row r="113" spans="1:5" ht="15.75" customHeight="1">
      <c r="A113" s="108"/>
      <c r="B113" s="160">
        <f t="shared" ref="B113:E113" si="13">SUM(B109:B112)</f>
        <v>25574.449000000001</v>
      </c>
      <c r="C113" s="160">
        <f t="shared" si="13"/>
        <v>20044.449000000001</v>
      </c>
      <c r="D113" s="160">
        <f t="shared" si="13"/>
        <v>22879.560635000002</v>
      </c>
      <c r="E113" s="160">
        <f t="shared" si="13"/>
        <v>31879.560635000002</v>
      </c>
    </row>
    <row r="114" spans="1:5" ht="15.75" customHeight="1"/>
    <row r="115" spans="1:5" ht="15.75" customHeight="1"/>
    <row r="116" spans="1:5" ht="15.75" customHeight="1"/>
    <row r="117" spans="1:5" ht="15.75" customHeight="1"/>
    <row r="118" spans="1:5" ht="15.75" customHeight="1"/>
    <row r="119" spans="1:5" ht="15.75" customHeight="1"/>
    <row r="120" spans="1:5" ht="15.75" customHeight="1"/>
    <row r="121" spans="1:5" ht="15.75" customHeight="1"/>
    <row r="122" spans="1:5" ht="15.75" customHeight="1"/>
    <row r="123" spans="1:5" ht="15.75" customHeight="1"/>
    <row r="124" spans="1:5" ht="15.75" customHeight="1"/>
    <row r="125" spans="1:5" ht="15.75" customHeight="1"/>
    <row r="126" spans="1:5" ht="15.75" customHeight="1"/>
    <row r="127" spans="1:5" ht="15.75" customHeight="1"/>
    <row r="128" spans="1:5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Planillas</vt:lpstr>
      <vt:lpstr>Recibo</vt:lpstr>
      <vt:lpstr>Ejercicios 4feb</vt:lpstr>
      <vt:lpstr>liquidacion agosto</vt:lpstr>
      <vt:lpstr>liquidacion agosto (2)</vt:lpstr>
      <vt:lpstr>PRUEBA FINAL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Gonzalo Fuentes Coiana</dc:creator>
  <cp:lastModifiedBy>Gonzalo Fuentes Coiana</cp:lastModifiedBy>
  <dcterms:created xsi:type="dcterms:W3CDTF">2021-02-05T16:51:09Z</dcterms:created>
  <dcterms:modified xsi:type="dcterms:W3CDTF">2022-02-22T14:06:42Z</dcterms:modified>
</cp:coreProperties>
</file>