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2.xml" ContentType="application/vnd.openxmlformats-officedocument.spreadsheetml.comments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gjcoi\Documents\Liquidación Salarios 2021\"/>
    </mc:Choice>
  </mc:AlternateContent>
  <xr:revisionPtr revIDLastSave="0" documentId="13_ncr:1_{2094E544-84D6-4D4B-B599-F719B80DBC8C}" xr6:coauthVersionLast="47" xr6:coauthVersionMax="47" xr10:uidLastSave="{00000000-0000-0000-0000-000000000000}"/>
  <bookViews>
    <workbookView xWindow="-108" yWindow="-108" windowWidth="23256" windowHeight="13176" activeTab="2" xr2:uid="{00000000-000D-0000-FFFF-FFFF00000000}"/>
  </bookViews>
  <sheets>
    <sheet name="Planillas" sheetId="1" r:id="rId1"/>
    <sheet name="Licencia" sheetId="9" r:id="rId2"/>
    <sheet name="IPD" sheetId="10" r:id="rId3"/>
    <sheet name="Pregunta Jornada y Prima" sheetId="8" r:id="rId4"/>
    <sheet name="Aguinaldo1mar" sheetId="7" r:id="rId5"/>
    <sheet name="Recibo" sheetId="2" r:id="rId6"/>
    <sheet name="Ejercicios varios resueltos" sheetId="5" r:id="rId7"/>
  </sheets>
  <calcPr calcId="191029"/>
</workbook>
</file>

<file path=xl/calcChain.xml><?xml version="1.0" encoding="utf-8"?>
<calcChain xmlns="http://schemas.openxmlformats.org/spreadsheetml/2006/main">
  <c r="N17" i="10" l="1"/>
  <c r="M17" i="10"/>
  <c r="L17" i="10"/>
  <c r="K7" i="10"/>
  <c r="K17" i="10"/>
  <c r="H17" i="10"/>
  <c r="H7" i="10"/>
  <c r="L7" i="10"/>
  <c r="M7" i="10" s="1"/>
  <c r="N7" i="10" s="1"/>
  <c r="E5" i="9"/>
  <c r="E6" i="9"/>
  <c r="D12" i="9"/>
  <c r="D9" i="9"/>
  <c r="D11" i="9"/>
  <c r="C14" i="9"/>
  <c r="D8" i="9"/>
  <c r="F17" i="10"/>
  <c r="E21" i="10"/>
  <c r="G21" i="10" s="1"/>
  <c r="E20" i="10"/>
  <c r="G20" i="10" s="1"/>
  <c r="E18" i="10"/>
  <c r="E25" i="10" s="1"/>
  <c r="E13" i="10"/>
  <c r="F7" i="10"/>
  <c r="D6" i="9"/>
  <c r="C53" i="7"/>
  <c r="D53" i="7"/>
  <c r="E53" i="7"/>
  <c r="F53" i="7"/>
  <c r="G53" i="7"/>
  <c r="H53" i="7"/>
  <c r="I53" i="7"/>
  <c r="J53" i="7"/>
  <c r="B53" i="7"/>
  <c r="C51" i="7"/>
  <c r="D51" i="7"/>
  <c r="E51" i="7"/>
  <c r="F51" i="7"/>
  <c r="G51" i="7"/>
  <c r="H51" i="7"/>
  <c r="I51" i="7"/>
  <c r="J51" i="7"/>
  <c r="B51" i="7"/>
  <c r="I48" i="7"/>
  <c r="G48" i="7"/>
  <c r="E48" i="7"/>
  <c r="C48" i="7"/>
  <c r="C47" i="7"/>
  <c r="D47" i="7"/>
  <c r="D54" i="7" s="1"/>
  <c r="E47" i="7"/>
  <c r="F47" i="7"/>
  <c r="F54" i="7" s="1"/>
  <c r="G47" i="7"/>
  <c r="G54" i="7" s="1"/>
  <c r="H47" i="7"/>
  <c r="H54" i="7" s="1"/>
  <c r="I47" i="7"/>
  <c r="I54" i="7" s="1"/>
  <c r="J47" i="7"/>
  <c r="B47" i="7"/>
  <c r="J50" i="7"/>
  <c r="F50" i="7"/>
  <c r="E50" i="7"/>
  <c r="C50" i="7"/>
  <c r="H21" i="7"/>
  <c r="H22" i="7"/>
  <c r="H23" i="7"/>
  <c r="H24" i="7"/>
  <c r="H25" i="7"/>
  <c r="H26" i="7"/>
  <c r="C20" i="7"/>
  <c r="H20" i="7" s="1"/>
  <c r="D11" i="8"/>
  <c r="D8" i="8"/>
  <c r="D4" i="8"/>
  <c r="E11" i="8"/>
  <c r="A11" i="8"/>
  <c r="B13" i="7"/>
  <c r="B14" i="7" s="1"/>
  <c r="C15" i="7"/>
  <c r="D15" i="7"/>
  <c r="E15" i="7"/>
  <c r="F15" i="7"/>
  <c r="G15" i="7"/>
  <c r="D14" i="7"/>
  <c r="E14" i="7"/>
  <c r="F14" i="7"/>
  <c r="G14" i="7"/>
  <c r="C14" i="7"/>
  <c r="B57" i="2"/>
  <c r="B56" i="2"/>
  <c r="B47" i="2"/>
  <c r="D47" i="2"/>
  <c r="D15" i="2"/>
  <c r="D13" i="2"/>
  <c r="D14" i="2" s="1"/>
  <c r="H54" i="2" s="1"/>
  <c r="D8" i="2"/>
  <c r="J31" i="2"/>
  <c r="J30" i="2"/>
  <c r="D42" i="1"/>
  <c r="F42" i="1" s="1"/>
  <c r="E38" i="1"/>
  <c r="F38" i="1" s="1"/>
  <c r="D37" i="1"/>
  <c r="F37" i="1" s="1"/>
  <c r="J109" i="5"/>
  <c r="I109" i="5"/>
  <c r="J110" i="5" s="1"/>
  <c r="H108" i="5"/>
  <c r="P91" i="5"/>
  <c r="R85" i="5"/>
  <c r="K89" i="5" s="1"/>
  <c r="R84" i="5"/>
  <c r="Q84" i="5"/>
  <c r="Q85" i="5" s="1"/>
  <c r="N91" i="5" s="1"/>
  <c r="N81" i="5"/>
  <c r="P94" i="5" s="1"/>
  <c r="Q94" i="5" s="1"/>
  <c r="F76" i="5"/>
  <c r="E76" i="5"/>
  <c r="D76" i="5"/>
  <c r="C76" i="5"/>
  <c r="L75" i="5"/>
  <c r="H75" i="5"/>
  <c r="F75" i="5"/>
  <c r="E75" i="5"/>
  <c r="D75" i="5"/>
  <c r="C75" i="5"/>
  <c r="Q73" i="5"/>
  <c r="O73" i="5"/>
  <c r="N73" i="5"/>
  <c r="O72" i="5"/>
  <c r="N72" i="5"/>
  <c r="O71" i="5"/>
  <c r="L71" i="5"/>
  <c r="N71" i="5" s="1"/>
  <c r="K71" i="5"/>
  <c r="K76" i="5" s="1"/>
  <c r="H71" i="5"/>
  <c r="H76" i="5" s="1"/>
  <c r="G71" i="5"/>
  <c r="G76" i="5" s="1"/>
  <c r="M67" i="5"/>
  <c r="J71" i="5" s="1"/>
  <c r="N65" i="5"/>
  <c r="B71" i="5" s="1"/>
  <c r="P59" i="5"/>
  <c r="N59" i="5"/>
  <c r="Q59" i="5" s="1"/>
  <c r="N58" i="5"/>
  <c r="Q58" i="5" s="1"/>
  <c r="P57" i="5"/>
  <c r="Q57" i="5" s="1"/>
  <c r="N57" i="5"/>
  <c r="N56" i="5"/>
  <c r="Q56" i="5" s="1"/>
  <c r="Q55" i="5"/>
  <c r="P55" i="5"/>
  <c r="N55" i="5"/>
  <c r="N54" i="5"/>
  <c r="Q54" i="5" s="1"/>
  <c r="N62" i="5" s="1"/>
  <c r="P53" i="5"/>
  <c r="N53" i="5"/>
  <c r="Q53" i="5" s="1"/>
  <c r="Q52" i="5"/>
  <c r="N52" i="5"/>
  <c r="N48" i="5"/>
  <c r="M48" i="5"/>
  <c r="P48" i="5" s="1"/>
  <c r="O45" i="5"/>
  <c r="O42" i="5"/>
  <c r="O36" i="5"/>
  <c r="N38" i="5" s="1"/>
  <c r="O35" i="5"/>
  <c r="O32" i="5"/>
  <c r="O31" i="5"/>
  <c r="O33" i="5" s="1"/>
  <c r="Q23" i="5"/>
  <c r="R23" i="5" s="1"/>
  <c r="Q22" i="5"/>
  <c r="N18" i="5"/>
  <c r="O20" i="5" s="1"/>
  <c r="O22" i="5" s="1"/>
  <c r="O24" i="5" s="1"/>
  <c r="Q6" i="5"/>
  <c r="O6" i="5"/>
  <c r="O5" i="5"/>
  <c r="O4" i="5"/>
  <c r="O3" i="5"/>
  <c r="O10" i="5" s="1"/>
  <c r="Q5" i="5" s="1"/>
  <c r="Q7" i="5" s="1"/>
  <c r="R7" i="5" s="1"/>
  <c r="B8" i="2"/>
  <c r="D52" i="2" l="1"/>
  <c r="H53" i="2"/>
  <c r="H52" i="2"/>
  <c r="E54" i="7"/>
  <c r="J54" i="7" s="1"/>
  <c r="J52" i="7" s="1"/>
  <c r="C52" i="7"/>
  <c r="H27" i="7"/>
  <c r="E4" i="8"/>
  <c r="B15" i="7"/>
  <c r="H15" i="7" s="1"/>
  <c r="D16" i="7" s="1"/>
  <c r="E43" i="1"/>
  <c r="F43" i="1" s="1"/>
  <c r="D63" i="2"/>
  <c r="O27" i="5"/>
  <c r="O25" i="5"/>
  <c r="Q26" i="5" s="1"/>
  <c r="R26" i="5" s="1"/>
  <c r="Q21" i="5"/>
  <c r="Q24" i="5" s="1"/>
  <c r="R24" i="5" s="1"/>
  <c r="R25" i="5" s="1"/>
  <c r="R27" i="5" s="1"/>
  <c r="N61" i="5"/>
  <c r="B76" i="5"/>
  <c r="B77" i="5" s="1"/>
  <c r="B75" i="5"/>
  <c r="J76" i="5"/>
  <c r="J75" i="5"/>
  <c r="Q71" i="5"/>
  <c r="Q75" i="5" s="1"/>
  <c r="Q76" i="5" s="1"/>
  <c r="Q77" i="5" s="1"/>
  <c r="N75" i="5"/>
  <c r="I89" i="5"/>
  <c r="L89" i="5"/>
  <c r="K90" i="5"/>
  <c r="I90" i="5" s="1"/>
  <c r="O12" i="5"/>
  <c r="P36" i="5"/>
  <c r="P40" i="5"/>
  <c r="L76" i="5"/>
  <c r="O37" i="5"/>
  <c r="P37" i="5" s="1"/>
  <c r="I71" i="5"/>
  <c r="N85" i="5"/>
  <c r="I88" i="5" s="1"/>
  <c r="I87" i="5"/>
  <c r="G75" i="5"/>
  <c r="K75" i="5"/>
  <c r="Q81" i="5"/>
  <c r="N89" i="5"/>
  <c r="H109" i="5"/>
  <c r="I110" i="5"/>
  <c r="H110" i="5" s="1"/>
  <c r="H14" i="2"/>
  <c r="H63" i="2" l="1"/>
  <c r="H65" i="2" s="1"/>
  <c r="D28" i="7"/>
  <c r="H28" i="7"/>
  <c r="D24" i="2"/>
  <c r="H13" i="2"/>
  <c r="H15" i="2"/>
  <c r="R81" i="5"/>
  <c r="N83" i="5"/>
  <c r="Q82" i="5"/>
  <c r="C109" i="5"/>
  <c r="C113" i="5" s="1"/>
  <c r="B109" i="5"/>
  <c r="B113" i="5" s="1"/>
  <c r="I76" i="5"/>
  <c r="B78" i="5" s="1"/>
  <c r="I75" i="5"/>
  <c r="E109" i="5"/>
  <c r="E113" i="5" s="1"/>
  <c r="D109" i="5"/>
  <c r="D113" i="5" s="1"/>
  <c r="N92" i="5"/>
  <c r="N90" i="5"/>
  <c r="I95" i="5"/>
  <c r="O15" i="5"/>
  <c r="O13" i="5"/>
  <c r="Q9" i="5" s="1"/>
  <c r="R9" i="5" s="1"/>
  <c r="R10" i="5" s="1"/>
  <c r="H24" i="2" l="1"/>
  <c r="H26" i="2" s="1"/>
  <c r="N93" i="5"/>
  <c r="N94" i="5" s="1"/>
  <c r="N95" i="5" s="1"/>
  <c r="N86" i="5" s="1"/>
  <c r="I93" i="5" s="1"/>
  <c r="N84" i="5"/>
  <c r="I92" i="5" s="1"/>
  <c r="I91" i="5"/>
  <c r="P90" i="5"/>
  <c r="P92" i="5" s="1"/>
  <c r="Q92" i="5" s="1"/>
  <c r="Q95" i="5" s="1"/>
  <c r="I96" i="5" s="1"/>
  <c r="I94" i="5" l="1"/>
  <c r="I97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Gonzalo Fuentes Coiana</author>
  </authors>
  <commentList>
    <comment ref="H21" authorId="0" shapeId="0" xr:uid="{00000000-0006-0000-0000-000001000000}">
      <text>
        <r>
          <rPr>
            <sz val="11"/>
            <color rgb="FF000000"/>
            <rFont val="Calibri"/>
          </rPr>
          <t>Se consideran Inasistencias Especiales a faltas por Pap, Donación de Sangre, Declaración en Juicios, y faltas previstas en el convenio como Inasistencias Especiales Pagas</t>
        </r>
      </text>
    </comment>
    <comment ref="G24" authorId="0" shapeId="0" xr:uid="{00000000-0006-0000-0000-000002000000}">
      <text>
        <r>
          <rPr>
            <sz val="11"/>
            <color rgb="FF000000"/>
            <rFont val="Calibri"/>
          </rPr>
          <t>No hay fecha prevista de reintegro. Certificación por consumo excesivo de sustancias tóxicas</t>
        </r>
      </text>
    </comment>
    <comment ref="H36" authorId="0" shapeId="0" xr:uid="{19D8D672-A166-4091-B0B7-E866C952680D}">
      <text>
        <r>
          <rPr>
            <sz val="11"/>
            <color rgb="FF000000"/>
            <rFont val="Calibri"/>
          </rPr>
          <t>Se consideran Inasistencias Especiales a faltas por Pap, Donación de Sangre, Declaración en Juicios, y faltas previstas en el convenio como Inasistencias Especiales Pagas</t>
        </r>
      </text>
    </comment>
    <comment ref="H41" authorId="0" shapeId="0" xr:uid="{A96AD4F6-F40B-4116-9F1A-716FB1F124AE}">
      <text>
        <r>
          <rPr>
            <sz val="11"/>
            <color rgb="FF000000"/>
            <rFont val="Calibri"/>
          </rPr>
          <t>Se consideran Inasistencias Especiales a faltas por Pap, Donación de Sangre, Declaración en Juicios, y faltas previstas en el convenio como Inasistencias Especiales Pagas</t>
        </r>
      </text>
    </comment>
    <comment ref="C56" authorId="1" shapeId="0" xr:uid="{E2B66092-5045-41FC-ABE2-5C6D8237AC2D}">
      <text>
        <r>
          <rPr>
            <b/>
            <sz val="9"/>
            <color indexed="81"/>
            <rFont val="Tahoma"/>
            <charset val="1"/>
          </rPr>
          <t>Gonzalo Fuentes Coiana:</t>
        </r>
        <r>
          <rPr>
            <sz val="9"/>
            <color indexed="81"/>
            <rFont val="Tahoma"/>
            <charset val="1"/>
          </rPr>
          <t xml:space="preserve">
Seguro de paro 2 meses</t>
        </r>
      </text>
    </comment>
    <comment ref="G56" authorId="1" shapeId="0" xr:uid="{34D157CE-00BC-4988-A318-E70FAE8E098B}">
      <text>
        <r>
          <rPr>
            <b/>
            <sz val="9"/>
            <color indexed="81"/>
            <rFont val="Tahoma"/>
            <charset val="1"/>
          </rPr>
          <t>Gonzalo Fuentes Coiana:</t>
        </r>
        <r>
          <rPr>
            <sz val="9"/>
            <color indexed="81"/>
            <rFont val="Tahoma"/>
            <charset val="1"/>
          </rPr>
          <t xml:space="preserve">
Estuvo certificado por Disse durante 4 meses exactos</t>
        </r>
      </text>
    </comment>
    <comment ref="D59" authorId="1" shapeId="0" xr:uid="{A2297EF6-5B06-4B5E-BEED-B9A826511DBD}">
      <text>
        <r>
          <rPr>
            <b/>
            <sz val="9"/>
            <color indexed="81"/>
            <rFont val="Tahoma"/>
            <family val="2"/>
          </rPr>
          <t>Gonzalo Fuentes Coiana:</t>
        </r>
        <r>
          <rPr>
            <sz val="9"/>
            <color indexed="81"/>
            <rFont val="Tahoma"/>
            <family val="2"/>
          </rPr>
          <t xml:space="preserve">
Certificada durante 3 meses</t>
        </r>
      </text>
    </comment>
    <comment ref="E59" authorId="1" shapeId="0" xr:uid="{FCC9E9A6-89D2-4B55-BE93-7900569A7C31}">
      <text>
        <r>
          <rPr>
            <b/>
            <sz val="9"/>
            <color indexed="81"/>
            <rFont val="Tahoma"/>
            <family val="2"/>
          </rPr>
          <t>Gonzalo Fuentes Coiana:</t>
        </r>
        <r>
          <rPr>
            <sz val="9"/>
            <color indexed="81"/>
            <rFont val="Tahoma"/>
            <family val="2"/>
          </rPr>
          <t xml:space="preserve">
Licencia Maternal</t>
        </r>
      </text>
    </comment>
    <comment ref="F59" authorId="1" shapeId="0" xr:uid="{4A937D82-DBD3-4DBE-80DB-366343C39F4B}">
      <text>
        <r>
          <rPr>
            <b/>
            <sz val="9"/>
            <color indexed="81"/>
            <rFont val="Tahoma"/>
            <family val="2"/>
          </rPr>
          <t>Gonzalo Fuentes Coiana:</t>
        </r>
        <r>
          <rPr>
            <sz val="9"/>
            <color indexed="81"/>
            <rFont val="Tahoma"/>
            <family val="2"/>
          </rPr>
          <t xml:space="preserve">
Medio horario por licencia maternal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Gonzalo Fuentes Coiana</author>
  </authors>
  <commentList>
    <comment ref="K5" authorId="0" shapeId="0" xr:uid="{BFDCEC12-011C-42ED-9F55-32D607C7FD0C}">
      <text>
        <r>
          <rPr>
            <b/>
            <sz val="9"/>
            <color indexed="81"/>
            <rFont val="Tahoma"/>
            <charset val="1"/>
          </rPr>
          <t>Gonzalo Fuentes Coiana:</t>
        </r>
        <r>
          <rPr>
            <sz val="9"/>
            <color indexed="81"/>
            <rFont val="Tahoma"/>
            <charset val="1"/>
          </rPr>
          <t xml:space="preserve">
21 jornales multiplicado por el valor del jornal</t>
        </r>
      </text>
    </comment>
    <comment ref="I7" authorId="0" shapeId="0" xr:uid="{6F90E487-EBE3-45EA-A65F-1B7EC45B9DAD}">
      <text>
        <r>
          <rPr>
            <b/>
            <sz val="9"/>
            <color indexed="81"/>
            <rFont val="Tahoma"/>
            <charset val="1"/>
          </rPr>
          <t>Gonzalo Fuentes Coiana:</t>
        </r>
        <r>
          <rPr>
            <sz val="9"/>
            <color indexed="81"/>
            <rFont val="Tahoma"/>
            <charset val="1"/>
          </rPr>
          <t xml:space="preserve">
Cobra 3600 de comision todos los meses</t>
        </r>
      </text>
    </comment>
    <comment ref="J7" authorId="0" shapeId="0" xr:uid="{668D5C1D-71C8-4304-BDFE-A2B852F25FD3}">
      <text>
        <r>
          <rPr>
            <b/>
            <sz val="9"/>
            <color indexed="81"/>
            <rFont val="Tahoma"/>
            <charset val="1"/>
          </rPr>
          <t>Gonzalo Fuentes Coiana:</t>
        </r>
        <r>
          <rPr>
            <sz val="9"/>
            <color indexed="81"/>
            <rFont val="Tahoma"/>
            <charset val="1"/>
          </rPr>
          <t xml:space="preserve">
Cobra 1500 durante 8 meses y 4 no logra el presentismo</t>
        </r>
      </text>
    </comment>
    <comment ref="J17" authorId="0" shapeId="0" xr:uid="{32D51D6F-F6C2-4D87-AE8B-B3422D120F25}">
      <text>
        <r>
          <rPr>
            <b/>
            <sz val="9"/>
            <color indexed="81"/>
            <rFont val="Tahoma"/>
            <family val="2"/>
          </rPr>
          <t>Gonzalo Fuentes Coiana:</t>
        </r>
        <r>
          <rPr>
            <sz val="9"/>
            <color indexed="81"/>
            <rFont val="Tahoma"/>
            <family val="2"/>
          </rPr>
          <t xml:space="preserve">
Presentisimo 1500 logrado 5 meses en el año
</t>
        </r>
      </text>
    </comment>
  </commentList>
</comments>
</file>

<file path=xl/sharedStrings.xml><?xml version="1.0" encoding="utf-8"?>
<sst xmlns="http://schemas.openxmlformats.org/spreadsheetml/2006/main" count="621" uniqueCount="382">
  <si>
    <t>Planilla de Personal</t>
  </si>
  <si>
    <t>Apellido</t>
  </si>
  <si>
    <t>Nombre</t>
  </si>
  <si>
    <t>C.I.</t>
  </si>
  <si>
    <t>Ingreso a la empresa</t>
  </si>
  <si>
    <t>Puesto</t>
  </si>
  <si>
    <t>Tipo de contrato (Mensual M; Jornalero J)</t>
  </si>
  <si>
    <t>Estado Civil</t>
  </si>
  <si>
    <t>Hijos menores a cargo</t>
  </si>
  <si>
    <t>Aporte Fonasa (Principal P; Secundario S)</t>
  </si>
  <si>
    <t>Salario x hora</t>
  </si>
  <si>
    <t>Salario mensual</t>
  </si>
  <si>
    <t>Comisiones</t>
  </si>
  <si>
    <t>Martin</t>
  </si>
  <si>
    <t>Perdomo</t>
  </si>
  <si>
    <t>3887870-3</t>
  </si>
  <si>
    <t>Operario General</t>
  </si>
  <si>
    <t>J</t>
  </si>
  <si>
    <t>Soltero</t>
  </si>
  <si>
    <t>Terrence</t>
  </si>
  <si>
    <t>Shelman</t>
  </si>
  <si>
    <t>5325667-0</t>
  </si>
  <si>
    <t>Operario Calificado</t>
  </si>
  <si>
    <t>Concubinato</t>
  </si>
  <si>
    <t>S</t>
  </si>
  <si>
    <t>Matias</t>
  </si>
  <si>
    <t>Lado</t>
  </si>
  <si>
    <t>1268976-2</t>
  </si>
  <si>
    <t>Capataz</t>
  </si>
  <si>
    <t>P</t>
  </si>
  <si>
    <t>María</t>
  </si>
  <si>
    <t>Comodha</t>
  </si>
  <si>
    <t>2375658-6</t>
  </si>
  <si>
    <t>Administrativa</t>
  </si>
  <si>
    <t>M</t>
  </si>
  <si>
    <t>Divorciada</t>
  </si>
  <si>
    <t xml:space="preserve"> </t>
  </si>
  <si>
    <t>Felicia</t>
  </si>
  <si>
    <t>Weimaraner</t>
  </si>
  <si>
    <t>2578455-2</t>
  </si>
  <si>
    <t>Contadora</t>
  </si>
  <si>
    <t>Casada</t>
  </si>
  <si>
    <t>Arturo</t>
  </si>
  <si>
    <t>Perez</t>
  </si>
  <si>
    <t>1346787-3</t>
  </si>
  <si>
    <t>Vendedor</t>
  </si>
  <si>
    <t>Ashley</t>
  </si>
  <si>
    <t>Rodriguez</t>
  </si>
  <si>
    <t>5998765-4</t>
  </si>
  <si>
    <t>Telefonista</t>
  </si>
  <si>
    <t>Soltera</t>
  </si>
  <si>
    <t>Horas Extras</t>
  </si>
  <si>
    <t xml:space="preserve">Inasistencia </t>
  </si>
  <si>
    <t>Disse/BSE Inicio</t>
  </si>
  <si>
    <t>Disse/BSE Reintegro</t>
  </si>
  <si>
    <t>Inasistencias Especiales</t>
  </si>
  <si>
    <t>El 30 de octubre se despide a Ashley Rodriguez. No tiene ningun complemento por fuera de su salario mensual, el cual se mantiene fijo desde su ingreso a la empresa</t>
  </si>
  <si>
    <t>Calcule IPD, Licencia no gozada y Salario Vacacional y Aguinaldo para Liquidación Final</t>
  </si>
  <si>
    <t>RECIBO DE SUELDO</t>
  </si>
  <si>
    <t>EMPRESA S.A.</t>
  </si>
  <si>
    <t>N° R.U.T.: 21 000000.0012</t>
  </si>
  <si>
    <t>Dirección</t>
  </si>
  <si>
    <t>N° B.P.S.: 1484306</t>
  </si>
  <si>
    <t>Grupo actividad: XX</t>
  </si>
  <si>
    <t>N°  M.T.S.S.: 123456</t>
  </si>
  <si>
    <t>Sub grupo actividad: XX</t>
  </si>
  <si>
    <t>N° B.S.E.: 987654</t>
  </si>
  <si>
    <t>NOMBRE: Empleado</t>
  </si>
  <si>
    <t>FUNCIONARIO JORNALERO</t>
  </si>
  <si>
    <t>Fecha de ingreso</t>
  </si>
  <si>
    <t>LIQUIDACION MENSUAL</t>
  </si>
  <si>
    <t xml:space="preserve">               HABERES</t>
  </si>
  <si>
    <t xml:space="preserve">       DESCUENTOS  </t>
  </si>
  <si>
    <t>Cantidad</t>
  </si>
  <si>
    <t>Concepto</t>
  </si>
  <si>
    <t>$</t>
  </si>
  <si>
    <t>Sueldo</t>
  </si>
  <si>
    <t>B.P.S</t>
  </si>
  <si>
    <t>Faltas</t>
  </si>
  <si>
    <t>4.5%</t>
  </si>
  <si>
    <t>FONASA</t>
  </si>
  <si>
    <t>F.R.L.</t>
  </si>
  <si>
    <t>I.R.P.F</t>
  </si>
  <si>
    <t>Otros descuentos…</t>
  </si>
  <si>
    <t>Horas Trabajadas</t>
  </si>
  <si>
    <t>Monto Imponible IRPF</t>
  </si>
  <si>
    <t>Monto computable IRPF</t>
  </si>
  <si>
    <t>TOTAL NOMINAL</t>
  </si>
  <si>
    <t>TOTAL DE DESCUENTOS</t>
  </si>
  <si>
    <t xml:space="preserve">  LÍQUIDO A COBRAR</t>
  </si>
  <si>
    <t>La empresa declara haber efectuado los aportes de seguridad social correspondientes a los haberes liquidados el mes anterior</t>
  </si>
  <si>
    <t>Recibí el importe mencionado y las copias correspondientes a la liquidación del mes de la fecha</t>
  </si>
  <si>
    <t>Fecha y año</t>
  </si>
  <si>
    <t xml:space="preserve">FIRMA </t>
  </si>
  <si>
    <t xml:space="preserve">valor hora </t>
  </si>
  <si>
    <t>Jornalero</t>
  </si>
  <si>
    <t>HORAS</t>
  </si>
  <si>
    <t>IRPF</t>
  </si>
  <si>
    <t>COMPENSACION</t>
  </si>
  <si>
    <t>Novedades del mes</t>
  </si>
  <si>
    <t>Valor hora comun $ 125,10</t>
  </si>
  <si>
    <t>HS EXTRAS</t>
  </si>
  <si>
    <t>HS EXT COMP NOCT</t>
  </si>
  <si>
    <t>Trabajo 208 hs comunes</t>
  </si>
  <si>
    <t>TICKETS</t>
  </si>
  <si>
    <t>Realizo 32 hs extras, de las cuales 16 hs fueron con nocturnidad al (25%)</t>
  </si>
  <si>
    <t>PRIMA POR ANTIG</t>
  </si>
  <si>
    <t>Tiene Compensaciones por trabajo de otro sector, que se calcula en $ 25 por cada hora trabajada, se le pagan 20 hs de compensacion.</t>
  </si>
  <si>
    <t>Cobro Tickets por $ 1050</t>
  </si>
  <si>
    <t xml:space="preserve">total nominal </t>
  </si>
  <si>
    <t>Tiene una prima por antigüedad de $ 3100.</t>
  </si>
  <si>
    <t>nominal BPS</t>
  </si>
  <si>
    <t>No tiene hijos menores a cargo.</t>
  </si>
  <si>
    <t>aportes</t>
  </si>
  <si>
    <t>irpf</t>
  </si>
  <si>
    <t>Calcular nominal y liquido del mes.</t>
  </si>
  <si>
    <t>LIQUIDO A COBRAR</t>
  </si>
  <si>
    <t>Mensual</t>
  </si>
  <si>
    <t xml:space="preserve">sueldo nominal </t>
  </si>
  <si>
    <t xml:space="preserve">jornal </t>
  </si>
  <si>
    <t>Sueldo nominal 45.000</t>
  </si>
  <si>
    <t>COMISIONES</t>
  </si>
  <si>
    <t>Comisiones $ 10.500</t>
  </si>
  <si>
    <t>FALTAS</t>
  </si>
  <si>
    <t>Falto por Disse 5 dias, la empresa lo descuenta</t>
  </si>
  <si>
    <t>Tiene 1 hijo a cargo.</t>
  </si>
  <si>
    <t>Calcular nominal y liquido del mes</t>
  </si>
  <si>
    <t>Trabajador Jornalero</t>
  </si>
  <si>
    <t>Realiza 150 hs comunes en el mes.</t>
  </si>
  <si>
    <t>valor hora 99,08</t>
  </si>
  <si>
    <t>Tiene 7 hs extras</t>
  </si>
  <si>
    <t>Todas sus horas comunes fueron con nocturnidad al 20%</t>
  </si>
  <si>
    <t>COMP NOCTURNIDAD</t>
  </si>
  <si>
    <t>Tickets por $ 547</t>
  </si>
  <si>
    <t>Tiene 1 dia por donar sangre.</t>
  </si>
  <si>
    <t>DONACION SANGRE</t>
  </si>
  <si>
    <t>LICENCIA</t>
  </si>
  <si>
    <t>Al finalizar el mes le pagamos la licencia (tomar en cuenta que el promedio de sus variables es $ 250 por dia trabajado).</t>
  </si>
  <si>
    <t>SAL VACACIONAL</t>
  </si>
  <si>
    <t>Dias a Gozar 20</t>
  </si>
  <si>
    <t>aportes licencia</t>
  </si>
  <si>
    <t>Calcular nominal del mes</t>
  </si>
  <si>
    <t xml:space="preserve">Nominal </t>
  </si>
  <si>
    <t>Funcionario mensual que ingresa a la empresa el 17/10/2016.</t>
  </si>
  <si>
    <t>SUELDO</t>
  </si>
  <si>
    <t>Sueldo nominal 50.000, tickets 5000, presentismo 3000 (por 30 dias de trabajo)</t>
  </si>
  <si>
    <t>INASITENCIAS EN DIAS</t>
  </si>
  <si>
    <t>Calcular sueldo de octubre.</t>
  </si>
  <si>
    <t>Calcular Aguinaldo de diciembre tomando en cuenta que en noviembre tiene las mismas partidas</t>
  </si>
  <si>
    <t>PRESENTISMO</t>
  </si>
  <si>
    <t xml:space="preserve">sueldo octubre </t>
  </si>
  <si>
    <t>sueldo noviembre</t>
  </si>
  <si>
    <t>aguinaldo</t>
  </si>
  <si>
    <t>Funcionario Jornalero, ingresa a la empresa el 01/04/2016, valor hora 120.10.</t>
  </si>
  <si>
    <t>valor hora</t>
  </si>
  <si>
    <t>Horas de abril, cantidad 200. Horas de mayo, cantidad 208, Horas de Junio 192, y de Julio a Noviembre realizo 200 hs cada mes.</t>
  </si>
  <si>
    <t>sueldo</t>
  </si>
  <si>
    <t>presentismo</t>
  </si>
  <si>
    <t>extras</t>
  </si>
  <si>
    <t xml:space="preserve">nominal </t>
  </si>
  <si>
    <t>En todos los meses cobra presentismo por $ 530.</t>
  </si>
  <si>
    <t>abril</t>
  </si>
  <si>
    <t>En los meses de Mayo, Julio, Setiembre y Noviembre, realizo 32 hs extras en cada mes.</t>
  </si>
  <si>
    <t xml:space="preserve">mayo </t>
  </si>
  <si>
    <t>Calcular Sueldo nominal de cada mes, aguinaldo de Junio y Diciembre</t>
  </si>
  <si>
    <t xml:space="preserve">junio </t>
  </si>
  <si>
    <t xml:space="preserve">julio </t>
  </si>
  <si>
    <t>agosto</t>
  </si>
  <si>
    <t>setiembre</t>
  </si>
  <si>
    <t>octubre</t>
  </si>
  <si>
    <t>noviembre</t>
  </si>
  <si>
    <t xml:space="preserve">aguinaldo junio </t>
  </si>
  <si>
    <t>aguinaldo Diciembre</t>
  </si>
  <si>
    <t>Trabajador Mensual que ingresa a la empresa el 02/02/2016, sueldo nominal 30000, presentismo 5000, tickets 2000.</t>
  </si>
  <si>
    <t>Cobra en el mes de marzo y julio premio por productividad de 10.000 en cada mes.</t>
  </si>
  <si>
    <t>En el mes de Julio aumenta por consejo de salarios un 6.07%.</t>
  </si>
  <si>
    <t>aumento julio 6,07%</t>
  </si>
  <si>
    <t>El 10 de enero de 2017, toma su licencia reglamentaria.</t>
  </si>
  <si>
    <t>Calcular sueldo de febrero, marzo, julio, aguinaldo de junio y diciembre. Calcular Salario Vacacional.</t>
  </si>
  <si>
    <t xml:space="preserve">febrero </t>
  </si>
  <si>
    <t xml:space="preserve">marzo </t>
  </si>
  <si>
    <t>mayo</t>
  </si>
  <si>
    <t>junio</t>
  </si>
  <si>
    <t>julio</t>
  </si>
  <si>
    <t>diciembre</t>
  </si>
  <si>
    <t xml:space="preserve">enero </t>
  </si>
  <si>
    <t xml:space="preserve">licencia </t>
  </si>
  <si>
    <t xml:space="preserve">sueldo </t>
  </si>
  <si>
    <t xml:space="preserve">presentismo </t>
  </si>
  <si>
    <t xml:space="preserve">variables </t>
  </si>
  <si>
    <t>ticket</t>
  </si>
  <si>
    <t>dias a gozar</t>
  </si>
  <si>
    <t>poductividad</t>
  </si>
  <si>
    <t>total nominal</t>
  </si>
  <si>
    <t>licenca</t>
  </si>
  <si>
    <t>aguinaldo junio</t>
  </si>
  <si>
    <t>aguinaldo diciembre</t>
  </si>
  <si>
    <t>Trabajador Jornalero que ingreso a la empresa en 02/01/2010, valor hora actual 95.40, trabaja todos los meses del año 200 hs.</t>
  </si>
  <si>
    <t>sueldo diciembre</t>
  </si>
  <si>
    <t>jornal  lic</t>
  </si>
  <si>
    <t>Presentismo todos los meses $ 530, salvo en junio que por acumulación de minutos tarde lo pierde.</t>
  </si>
  <si>
    <t>jornal SV</t>
  </si>
  <si>
    <t>El 31/12/2015 se lo despide, no gozo la licencia reglamentaria.</t>
  </si>
  <si>
    <t>LICENCIA NG</t>
  </si>
  <si>
    <t>Calcular liquidaciones del mes de diciembre.</t>
  </si>
  <si>
    <t>SAL VAC RET</t>
  </si>
  <si>
    <t xml:space="preserve">variable </t>
  </si>
  <si>
    <t>MENSUALIDADES</t>
  </si>
  <si>
    <t>AG POR EG</t>
  </si>
  <si>
    <t>IPD</t>
  </si>
  <si>
    <t>Aguinaldo Egreso</t>
  </si>
  <si>
    <t xml:space="preserve">IPD </t>
  </si>
  <si>
    <t>Licencia no gozada 2014</t>
  </si>
  <si>
    <t>JORNAL LIC</t>
  </si>
  <si>
    <t xml:space="preserve">Sueldo </t>
  </si>
  <si>
    <t>Salario Vacacional 2014</t>
  </si>
  <si>
    <t>JORNAL SV</t>
  </si>
  <si>
    <t>Incidencia AG</t>
  </si>
  <si>
    <t>Licencia no gozada 2015</t>
  </si>
  <si>
    <t>Incidencia Variables</t>
  </si>
  <si>
    <t>Salario Vacacional 2015</t>
  </si>
  <si>
    <t>Incidencia LNG</t>
  </si>
  <si>
    <t>Incidencia SV</t>
  </si>
  <si>
    <t>Total</t>
  </si>
  <si>
    <t>Aportes</t>
  </si>
  <si>
    <t>Mensualidades 6</t>
  </si>
  <si>
    <t>Liquido</t>
  </si>
  <si>
    <t>En enero de 2010, tiene aumento por consejo de salarios de 5,05%.</t>
  </si>
  <si>
    <t>En Julio de 2010, tiene aumento por consejo de salarios de 7,05 %, pero la empresa otorga el 11,50%</t>
  </si>
  <si>
    <t>Recibe una prima por matrimonio en enero del mismo año por valor de $ 5000 y una prima por nacimiento en noviembre por $ 9000.</t>
  </si>
  <si>
    <t>Se pide calcular nominal de enero, junio, julio y noviembre de 2010</t>
  </si>
  <si>
    <t>ENERO</t>
  </si>
  <si>
    <t>JUNIO</t>
  </si>
  <si>
    <t>JULIO</t>
  </si>
  <si>
    <t>NOVIEMBRE</t>
  </si>
  <si>
    <t>JORNALES</t>
  </si>
  <si>
    <t>AUMENTO ENERO</t>
  </si>
  <si>
    <t>AUMENTO JULIO</t>
  </si>
  <si>
    <t>PRIMA POR MAT</t>
  </si>
  <si>
    <t>PRIMA POR NAC</t>
  </si>
  <si>
    <t>Control de horas y asistencias del mes de OCTUBRE 2020</t>
  </si>
  <si>
    <t>Dias de Trabajo</t>
  </si>
  <si>
    <t>Febrero</t>
  </si>
  <si>
    <t>24 dias laborables</t>
  </si>
  <si>
    <t xml:space="preserve">Marzo </t>
  </si>
  <si>
    <t>27 dias laborables</t>
  </si>
  <si>
    <t>Jornal</t>
  </si>
  <si>
    <t>Liquidacion del mes</t>
  </si>
  <si>
    <t>Liquidación del mes</t>
  </si>
  <si>
    <t>FECHA DE LIQUIDACION Octubre 2021</t>
  </si>
  <si>
    <t>Arturo Perez</t>
  </si>
  <si>
    <t>FUNCIONARIO MENSUAL</t>
  </si>
  <si>
    <t>Comisiones por Ventas</t>
  </si>
  <si>
    <t>Sin reintegro</t>
  </si>
  <si>
    <t>Martin Perdomo</t>
  </si>
  <si>
    <t>Jornales Trabajados</t>
  </si>
  <si>
    <t>Gimenez</t>
  </si>
  <si>
    <t>Susana</t>
  </si>
  <si>
    <t>231-5</t>
  </si>
  <si>
    <t>Carlos</t>
  </si>
  <si>
    <t>Luisa</t>
  </si>
  <si>
    <t>Silveira</t>
  </si>
  <si>
    <t>Operario Medio oficial</t>
  </si>
  <si>
    <t>Calculo de Aguinaldo Susana Gimenez, Diapo 71 ejercicio de clase</t>
  </si>
  <si>
    <t>SUSANA GIMENEZ</t>
  </si>
  <si>
    <t>Primas</t>
  </si>
  <si>
    <t>Tickets Alimentacion</t>
  </si>
  <si>
    <t>Tickets Transporte</t>
  </si>
  <si>
    <t>Presentismo</t>
  </si>
  <si>
    <t>Horas extras</t>
  </si>
  <si>
    <t>Diciembre</t>
  </si>
  <si>
    <t>Enero</t>
  </si>
  <si>
    <t>Marzo</t>
  </si>
  <si>
    <t>Abril</t>
  </si>
  <si>
    <t>Mayo</t>
  </si>
  <si>
    <t>Medio Aguinaldo Junio</t>
  </si>
  <si>
    <t>CALCULO MEDIO AGUINALDO JUNIO</t>
  </si>
  <si>
    <t>Total Imponible Aguinaldo</t>
  </si>
  <si>
    <t>Juni</t>
  </si>
  <si>
    <t>Julio</t>
  </si>
  <si>
    <t>Agosto</t>
  </si>
  <si>
    <t>Setiembre</t>
  </si>
  <si>
    <t>Octubre</t>
  </si>
  <si>
    <t>Noviembre</t>
  </si>
  <si>
    <t>Asistente de Dirección</t>
  </si>
  <si>
    <t>Auxiliar primero</t>
  </si>
  <si>
    <t>Prima por produccion</t>
  </si>
  <si>
    <t>Conceptos</t>
  </si>
  <si>
    <t>Tiempo en horas</t>
  </si>
  <si>
    <t>Prima</t>
  </si>
  <si>
    <t>Limpieza</t>
  </si>
  <si>
    <t>Ajuste</t>
  </si>
  <si>
    <t>Jornada</t>
  </si>
  <si>
    <t>Descanso</t>
  </si>
  <si>
    <t>Ejercicios</t>
  </si>
  <si>
    <t>Cantidad de Bandejas</t>
  </si>
  <si>
    <t>Total Bandejas por hora</t>
  </si>
  <si>
    <t>Valor control</t>
  </si>
  <si>
    <t>Efectivas</t>
  </si>
  <si>
    <t>Calcule el medio aguinaldo de diciembre</t>
  </si>
  <si>
    <t>Ejercicio 2: Considerando los detalles abajo mencionados cumpla con la liquidación solicitada</t>
  </si>
  <si>
    <t>Mensual M; Jornalero J</t>
  </si>
  <si>
    <t xml:space="preserve">Tania </t>
  </si>
  <si>
    <t>Diaz</t>
  </si>
  <si>
    <t>1224557-3</t>
  </si>
  <si>
    <t>Asistente de Laboratorio de produccion</t>
  </si>
  <si>
    <t>Funcionario Tania Diaz, ingresa a la empresa el 01/04/2021, valor hora 196</t>
  </si>
  <si>
    <t>Horas trabajadas</t>
  </si>
  <si>
    <t>May</t>
  </si>
  <si>
    <t>Apr</t>
  </si>
  <si>
    <t>Jun</t>
  </si>
  <si>
    <t>Jul</t>
  </si>
  <si>
    <t>Ago</t>
  </si>
  <si>
    <t>set</t>
  </si>
  <si>
    <t>Oct</t>
  </si>
  <si>
    <t>Nov</t>
  </si>
  <si>
    <t>Dic</t>
  </si>
  <si>
    <t>Horas comunes</t>
  </si>
  <si>
    <t>Calcular Sueldo nominal de cada mes incluyendo los feriados pagos correspondientes, aguinaldo de Junio y Diciembre, no es necesario hacer recibos, con calcularlo en planilla es suficiente</t>
  </si>
  <si>
    <t>Agregados para ejercicios de Clase 4, aguinaldo, horas extras y feriados pagos</t>
  </si>
  <si>
    <t>Ejemplos Clase 2</t>
  </si>
  <si>
    <t>• Sueldo nominal de Dic. 2020 a Junio 2021 de $ 155.000 nominales. En julio tiene un aumento por consejo de salarios del 10% y ese es su sueldo hasta diciembre.</t>
  </si>
  <si>
    <t>• Tiene 3 horas extras realizadas en setiembre, en noviembre y  en diciembre 2020.</t>
  </si>
  <si>
    <t>•Se casó en el mes de Setiembre 2021 y le pagaron una prima por matrimonio de $ 5.000</t>
  </si>
  <si>
    <t>•Cobra tickets de alimentación de $ 1800 por mes y Tickets transporte $ 1.600 por mes.</t>
  </si>
  <si>
    <t>•Cobra una prima por presentismo de $ 2500 que solo no pudo cobrarla en Mayo de este año.</t>
  </si>
  <si>
    <t>•Le dan la ropa y las herramientas de trabajo y le dan el almuerzo.</t>
  </si>
  <si>
    <t>SE PIDE) Calcular el SAC a junio 2021 y diciembre 2021.</t>
  </si>
  <si>
    <t>Ejercicio</t>
  </si>
  <si>
    <t>La Señora Susana Gimenez, trabaja de lun. a vier. 8 hs tiene los siguientes ingresos:</t>
  </si>
  <si>
    <t>Medio Aguinaldo Diciembre</t>
  </si>
  <si>
    <t>Valor Horas comunes</t>
  </si>
  <si>
    <t>Valor Horas Extras</t>
  </si>
  <si>
    <t>Feriado Pagos</t>
  </si>
  <si>
    <t>Valor Hora</t>
  </si>
  <si>
    <t>Sueldo Mensual</t>
  </si>
  <si>
    <t>Aguinaldo</t>
  </si>
  <si>
    <t>Total Imponible</t>
  </si>
  <si>
    <t>Licencias</t>
  </si>
  <si>
    <t>Trabajador</t>
  </si>
  <si>
    <t>Cobro de la Licencia</t>
  </si>
  <si>
    <t>Feb</t>
  </si>
  <si>
    <t>Mar</t>
  </si>
  <si>
    <t>Abr</t>
  </si>
  <si>
    <t>Licencia del 1 al 23 de febrero</t>
  </si>
  <si>
    <t>Licencia Jornalero</t>
  </si>
  <si>
    <t>Salario Vacacional</t>
  </si>
  <si>
    <t>Indemnizacion por Despido</t>
  </si>
  <si>
    <t>Trabajador Mensual</t>
  </si>
  <si>
    <t>El trabajador es despedido por falta de trabajo el 20 de enero de 2022</t>
  </si>
  <si>
    <t>Matias Gonzalez</t>
  </si>
  <si>
    <t>Ingreso</t>
  </si>
  <si>
    <t>Despido</t>
  </si>
  <si>
    <t>Salario</t>
  </si>
  <si>
    <t>Bases IPD</t>
  </si>
  <si>
    <t>Tipo de Contrato</t>
  </si>
  <si>
    <t>Cindy Urrambilleta</t>
  </si>
  <si>
    <t>Jornalera</t>
  </si>
  <si>
    <t>Dias trabajados</t>
  </si>
  <si>
    <t>Promedio</t>
  </si>
  <si>
    <t>Promedio total</t>
  </si>
  <si>
    <t>Ejercicios de Licencias y Liquidacion Final</t>
  </si>
  <si>
    <t>Desvinculado</t>
  </si>
  <si>
    <t>Jornales trabajados</t>
  </si>
  <si>
    <t>Calcular Licencia no gozada 2021, calcular IPD</t>
  </si>
  <si>
    <t>Calcular licencia no gozada 2021, aguinaldo e IPD</t>
  </si>
  <si>
    <t>Calcular Licencia 2021</t>
  </si>
  <si>
    <t>20 dias licencia</t>
  </si>
  <si>
    <t>Licencia Mensual</t>
  </si>
  <si>
    <t>20 licencia</t>
  </si>
  <si>
    <t>Jornal Tr. Mensual</t>
  </si>
  <si>
    <t>Comision</t>
  </si>
  <si>
    <t>Calculo del valor del Jornal de IPD</t>
  </si>
  <si>
    <t>Licencia 2020</t>
  </si>
  <si>
    <t>Salario Anual</t>
  </si>
  <si>
    <t>BASE SALARIAL MENSUAL IPD</t>
  </si>
  <si>
    <t xml:space="preserve">Bases IPD </t>
  </si>
  <si>
    <t>B</t>
  </si>
  <si>
    <t>Bases IPD Mixto</t>
  </si>
  <si>
    <t>Valor Jornal</t>
  </si>
  <si>
    <t>Alimentacion</t>
  </si>
  <si>
    <t>JORNAL BASE IPD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</si>
</sst>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\ * #,##0.00_-;\-&quot;$&quot;\ * #,##0.00_-;_-&quot;$&quot;\ * &quot;-&quot;??_-;_-@_-"/>
    <numFmt numFmtId="164" formatCode="dd\ mmm\ yyyy"/>
    <numFmt numFmtId="165" formatCode="d\-m\-yyyy"/>
    <numFmt numFmtId="166" formatCode="_(* #,##0.00_);_(* \(#,##0.00\);_(* &quot;-&quot;??_);_(@_)"/>
    <numFmt numFmtId="167" formatCode="0.0"/>
    <numFmt numFmtId="168" formatCode="_-* #,##0.00_-;\-* #,##0.00_-;_-* &quot;-&quot;??_-;_-@"/>
    <numFmt numFmtId="169" formatCode="_(* #,##0.000_);_(* \(#,##0.000\);_(* &quot;-&quot;??_);_(@_)"/>
    <numFmt numFmtId="170" formatCode="_(* #,##0_);_(* \(#,##0\);_(* &quot;-&quot;??_);_(@_)"/>
  </numFmts>
  <fonts count="46">
    <font>
      <sz val="11"/>
      <color rgb="FF000000"/>
      <name val="Calibri"/>
    </font>
    <font>
      <sz val="18"/>
      <color rgb="FF000000"/>
      <name val="Calibri"/>
    </font>
    <font>
      <b/>
      <sz val="11"/>
      <color rgb="FFFFFFFF"/>
      <name val="Calibri"/>
    </font>
    <font>
      <sz val="11"/>
      <color rgb="FF000000"/>
      <name val="Arial"/>
    </font>
    <font>
      <sz val="11"/>
      <color theme="1"/>
      <name val="Calibri"/>
    </font>
    <font>
      <sz val="11"/>
      <color theme="1"/>
      <name val="Arial"/>
    </font>
    <font>
      <sz val="16"/>
      <color rgb="FF000000"/>
      <name val="Arial"/>
    </font>
    <font>
      <b/>
      <sz val="14"/>
      <color rgb="FF000000"/>
      <name val="Calibri"/>
    </font>
    <font>
      <sz val="18"/>
      <color rgb="FF000000"/>
      <name val="Arial"/>
    </font>
    <font>
      <sz val="12"/>
      <color rgb="FF000000"/>
      <name val="Arial"/>
    </font>
    <font>
      <b/>
      <sz val="12"/>
      <color rgb="FF000000"/>
      <name val="Arial"/>
    </font>
    <font>
      <b/>
      <sz val="11"/>
      <color rgb="FF000000"/>
      <name val="Calibri"/>
    </font>
    <font>
      <sz val="10"/>
      <color rgb="FF000000"/>
      <name val="Arial"/>
    </font>
    <font>
      <sz val="11"/>
      <name val="Calibri"/>
    </font>
    <font>
      <sz val="14"/>
      <color rgb="FF000000"/>
      <name val="Arial"/>
    </font>
    <font>
      <sz val="11"/>
      <color theme="1"/>
      <name val="Calibri"/>
    </font>
    <font>
      <sz val="11"/>
      <color rgb="FFFF0000"/>
      <name val="Calibri"/>
    </font>
    <font>
      <sz val="9"/>
      <color theme="1"/>
      <name val="Calibri"/>
    </font>
    <font>
      <b/>
      <sz val="11"/>
      <color theme="1"/>
      <name val="Calibri"/>
    </font>
    <font>
      <b/>
      <sz val="9"/>
      <color theme="1"/>
      <name val="Calibri"/>
    </font>
    <font>
      <sz val="11"/>
      <color rgb="FF000000"/>
      <name val="Calibri"/>
      <family val="2"/>
    </font>
    <font>
      <sz val="11"/>
      <color rgb="FF000000"/>
      <name val="Calibri"/>
    </font>
    <font>
      <sz val="11"/>
      <color rgb="FFFF0000"/>
      <name val="Arial"/>
      <family val="2"/>
    </font>
    <font>
      <sz val="11"/>
      <color rgb="FFFF0000"/>
      <name val="Calibri"/>
      <family val="2"/>
    </font>
    <font>
      <sz val="10"/>
      <color rgb="FF000000"/>
      <name val="Arial"/>
      <family val="2"/>
    </font>
    <font>
      <b/>
      <sz val="11"/>
      <color rgb="FFFFFFFF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4"/>
      <color rgb="FF000000"/>
      <name val="Arial"/>
      <family val="2"/>
    </font>
    <font>
      <b/>
      <sz val="16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</font>
    <font>
      <b/>
      <sz val="11"/>
      <color rgb="FFFF0000"/>
      <name val="Arial"/>
      <family val="2"/>
    </font>
    <font>
      <sz val="8"/>
      <name val="Calibri"/>
      <family val="2"/>
    </font>
    <font>
      <b/>
      <sz val="14"/>
      <color rgb="FF000000"/>
      <name val="Calibri"/>
      <family val="2"/>
    </font>
    <font>
      <sz val="11"/>
      <color theme="2"/>
      <name val="Calibri"/>
      <family val="2"/>
    </font>
    <font>
      <b/>
      <sz val="11"/>
      <color theme="2"/>
      <name val="Calibri"/>
      <family val="2"/>
    </font>
    <font>
      <sz val="11"/>
      <color theme="1"/>
      <name val="Calibri"/>
      <family val="2"/>
    </font>
    <font>
      <sz val="16"/>
      <color rgb="FF000000"/>
      <name val="Calibri"/>
      <family val="2"/>
    </font>
    <font>
      <b/>
      <sz val="11"/>
      <color theme="0"/>
      <name val="Calibri"/>
      <family val="2"/>
    </font>
    <font>
      <sz val="12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9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9CC2E5"/>
        <bgColor rgb="FF9CC2E5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/>
        <bgColor theme="6"/>
      </patternFill>
    </fill>
  </fills>
  <borders count="102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9CC2E5"/>
      </top>
      <bottom style="thin">
        <color rgb="FF9CC2E5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CCCCCC"/>
      </right>
      <top style="thick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thick">
        <color rgb="FF000000"/>
      </top>
      <bottom style="medium">
        <color rgb="FFCCCCCC"/>
      </bottom>
      <diagonal/>
    </border>
    <border>
      <left style="medium">
        <color rgb="FFCCCCCC"/>
      </left>
      <right style="thick">
        <color rgb="FF000000"/>
      </right>
      <top style="thick">
        <color rgb="FF000000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thick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ck">
        <color rgb="FF000000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/>
      <right style="medium">
        <color indexed="64"/>
      </right>
      <top style="thin">
        <color rgb="FF000000"/>
      </top>
      <bottom style="double">
        <color rgb="FF000000"/>
      </bottom>
      <diagonal/>
    </border>
    <border>
      <left style="medium">
        <color indexed="64"/>
      </left>
      <right/>
      <top style="double">
        <color rgb="FF000000"/>
      </top>
      <bottom style="thin">
        <color rgb="FF000000"/>
      </bottom>
      <diagonal/>
    </border>
    <border>
      <left/>
      <right style="medium">
        <color indexed="64"/>
      </right>
      <top style="double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medium">
        <color rgb="FFCCCCCC"/>
      </right>
      <top style="medium">
        <color rgb="FFCCCCCC"/>
      </top>
      <bottom style="double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double">
        <color indexed="64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rgb="FF9CC2E5"/>
      </top>
      <bottom style="thin">
        <color rgb="FF9CC2E5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</borders>
  <cellStyleXfs count="2">
    <xf numFmtId="0" fontId="0" fillId="0" borderId="0"/>
    <xf numFmtId="44" fontId="21" fillId="0" borderId="0" applyFont="0" applyFill="0" applyBorder="0" applyAlignment="0" applyProtection="0"/>
  </cellStyleXfs>
  <cellXfs count="327">
    <xf numFmtId="0" fontId="0" fillId="0" borderId="0" xfId="0" applyFont="1" applyAlignment="1"/>
    <xf numFmtId="0" fontId="1" fillId="0" borderId="0" xfId="0" applyFont="1"/>
    <xf numFmtId="0" fontId="0" fillId="0" borderId="0" xfId="0" applyFont="1"/>
    <xf numFmtId="0" fontId="2" fillId="2" borderId="1" xfId="0" applyFont="1" applyFill="1" applyBorder="1" applyAlignment="1">
      <alignment wrapText="1"/>
    </xf>
    <xf numFmtId="14" fontId="0" fillId="0" borderId="0" xfId="0" applyNumberFormat="1" applyFont="1"/>
    <xf numFmtId="0" fontId="5" fillId="0" borderId="0" xfId="0" applyFont="1"/>
    <xf numFmtId="0" fontId="6" fillId="0" borderId="0" xfId="0" applyFont="1"/>
    <xf numFmtId="0" fontId="2" fillId="2" borderId="2" xfId="0" applyFont="1" applyFill="1" applyBorder="1" applyAlignment="1">
      <alignment wrapText="1"/>
    </xf>
    <xf numFmtId="0" fontId="7" fillId="0" borderId="0" xfId="0" applyFont="1"/>
    <xf numFmtId="0" fontId="8" fillId="0" borderId="3" xfId="0" applyFont="1" applyBorder="1"/>
    <xf numFmtId="0" fontId="0" fillId="0" borderId="4" xfId="0" applyFont="1" applyBorder="1"/>
    <xf numFmtId="0" fontId="9" fillId="0" borderId="5" xfId="0" applyFont="1" applyBorder="1" applyAlignment="1">
      <alignment horizontal="right" vertical="center"/>
    </xf>
    <xf numFmtId="0" fontId="9" fillId="0" borderId="6" xfId="0" applyFont="1" applyBorder="1"/>
    <xf numFmtId="0" fontId="9" fillId="0" borderId="7" xfId="0" applyFont="1" applyBorder="1" applyAlignment="1">
      <alignment horizontal="right" vertical="center"/>
    </xf>
    <xf numFmtId="0" fontId="9" fillId="0" borderId="8" xfId="0" applyFont="1" applyBorder="1"/>
    <xf numFmtId="0" fontId="0" fillId="0" borderId="9" xfId="0" applyFont="1" applyBorder="1"/>
    <xf numFmtId="0" fontId="9" fillId="0" borderId="10" xfId="0" applyFont="1" applyBorder="1" applyAlignment="1">
      <alignment horizontal="right" vertical="center"/>
    </xf>
    <xf numFmtId="0" fontId="9" fillId="0" borderId="11" xfId="0" applyFont="1" applyBorder="1"/>
    <xf numFmtId="0" fontId="0" fillId="0" borderId="12" xfId="0" applyFont="1" applyBorder="1"/>
    <xf numFmtId="0" fontId="9" fillId="0" borderId="13" xfId="0" applyFont="1" applyBorder="1" applyAlignment="1">
      <alignment horizontal="right" vertical="center"/>
    </xf>
    <xf numFmtId="0" fontId="3" fillId="0" borderId="0" xfId="0" applyFont="1"/>
    <xf numFmtId="14" fontId="9" fillId="0" borderId="0" xfId="0" applyNumberFormat="1" applyFont="1"/>
    <xf numFmtId="0" fontId="8" fillId="0" borderId="8" xfId="0" applyFont="1" applyBorder="1"/>
    <xf numFmtId="0" fontId="8" fillId="3" borderId="14" xfId="0" applyFont="1" applyFill="1" applyBorder="1"/>
    <xf numFmtId="0" fontId="0" fillId="3" borderId="15" xfId="0" applyFont="1" applyFill="1" applyBorder="1"/>
    <xf numFmtId="0" fontId="0" fillId="3" borderId="16" xfId="0" applyFont="1" applyFill="1" applyBorder="1"/>
    <xf numFmtId="0" fontId="0" fillId="0" borderId="17" xfId="0" applyFont="1" applyBorder="1"/>
    <xf numFmtId="0" fontId="0" fillId="3" borderId="18" xfId="0" applyFont="1" applyFill="1" applyBorder="1"/>
    <xf numFmtId="0" fontId="9" fillId="3" borderId="19" xfId="0" applyFont="1" applyFill="1" applyBorder="1" applyAlignment="1">
      <alignment horizontal="right" vertical="center"/>
    </xf>
    <xf numFmtId="0" fontId="0" fillId="0" borderId="20" xfId="0" applyFont="1" applyBorder="1"/>
    <xf numFmtId="0" fontId="10" fillId="0" borderId="21" xfId="0" applyFont="1" applyBorder="1"/>
    <xf numFmtId="0" fontId="0" fillId="0" borderId="22" xfId="0" applyFont="1" applyBorder="1"/>
    <xf numFmtId="0" fontId="0" fillId="3" borderId="1" xfId="0" applyFont="1" applyFill="1" applyBorder="1"/>
    <xf numFmtId="0" fontId="10" fillId="0" borderId="23" xfId="0" applyFont="1" applyBorder="1"/>
    <xf numFmtId="0" fontId="0" fillId="0" borderId="24" xfId="0" applyFont="1" applyBorder="1"/>
    <xf numFmtId="0" fontId="0" fillId="0" borderId="25" xfId="0" applyFont="1" applyBorder="1"/>
    <xf numFmtId="0" fontId="3" fillId="0" borderId="26" xfId="0" applyFont="1" applyBorder="1"/>
    <xf numFmtId="0" fontId="11" fillId="0" borderId="27" xfId="0" applyFont="1" applyBorder="1"/>
    <xf numFmtId="0" fontId="9" fillId="0" borderId="28" xfId="0" applyFont="1" applyBorder="1" applyAlignment="1">
      <alignment horizontal="center" vertical="center"/>
    </xf>
    <xf numFmtId="0" fontId="0" fillId="0" borderId="29" xfId="0" applyFont="1" applyBorder="1"/>
    <xf numFmtId="0" fontId="0" fillId="0" borderId="6" xfId="0" applyFont="1" applyBorder="1"/>
    <xf numFmtId="0" fontId="12" fillId="0" borderId="0" xfId="0" applyFont="1"/>
    <xf numFmtId="0" fontId="3" fillId="0" borderId="30" xfId="0" applyFont="1" applyBorder="1"/>
    <xf numFmtId="9" fontId="12" fillId="0" borderId="31" xfId="0" applyNumberFormat="1" applyFont="1" applyBorder="1" applyAlignment="1">
      <alignment horizontal="center"/>
    </xf>
    <xf numFmtId="0" fontId="0" fillId="0" borderId="7" xfId="0" applyFont="1" applyBorder="1"/>
    <xf numFmtId="0" fontId="3" fillId="0" borderId="6" xfId="0" applyFont="1" applyBorder="1"/>
    <xf numFmtId="0" fontId="0" fillId="0" borderId="30" xfId="0" applyFont="1" applyBorder="1"/>
    <xf numFmtId="10" fontId="12" fillId="0" borderId="31" xfId="0" applyNumberFormat="1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12" fillId="0" borderId="31" xfId="0" applyFont="1" applyBorder="1"/>
    <xf numFmtId="0" fontId="0" fillId="0" borderId="31" xfId="0" applyFont="1" applyBorder="1"/>
    <xf numFmtId="0" fontId="0" fillId="0" borderId="8" xfId="0" applyFont="1" applyBorder="1"/>
    <xf numFmtId="0" fontId="9" fillId="0" borderId="9" xfId="0" applyFont="1" applyBorder="1"/>
    <xf numFmtId="0" fontId="0" fillId="0" borderId="32" xfId="0" applyFont="1" applyBorder="1"/>
    <xf numFmtId="0" fontId="9" fillId="0" borderId="33" xfId="0" applyFont="1" applyBorder="1"/>
    <xf numFmtId="0" fontId="0" fillId="3" borderId="34" xfId="0" applyFont="1" applyFill="1" applyBorder="1"/>
    <xf numFmtId="0" fontId="0" fillId="3" borderId="35" xfId="0" applyFont="1" applyFill="1" applyBorder="1"/>
    <xf numFmtId="0" fontId="10" fillId="0" borderId="0" xfId="0" applyFont="1"/>
    <xf numFmtId="0" fontId="11" fillId="0" borderId="0" xfId="0" applyFont="1"/>
    <xf numFmtId="0" fontId="14" fillId="0" borderId="0" xfId="0" applyFont="1"/>
    <xf numFmtId="0" fontId="0" fillId="0" borderId="38" xfId="0" applyFont="1" applyBorder="1"/>
    <xf numFmtId="0" fontId="0" fillId="0" borderId="39" xfId="0" applyFont="1" applyBorder="1"/>
    <xf numFmtId="0" fontId="0" fillId="0" borderId="40" xfId="0" applyFont="1" applyBorder="1"/>
    <xf numFmtId="0" fontId="0" fillId="0" borderId="4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41" xfId="0" applyFont="1" applyBorder="1"/>
    <xf numFmtId="0" fontId="0" fillId="0" borderId="42" xfId="0" applyFont="1" applyBorder="1"/>
    <xf numFmtId="0" fontId="0" fillId="0" borderId="43" xfId="0" applyFont="1" applyBorder="1"/>
    <xf numFmtId="0" fontId="0" fillId="0" borderId="44" xfId="0" applyFont="1" applyBorder="1" applyAlignment="1">
      <alignment wrapText="1"/>
    </xf>
    <xf numFmtId="0" fontId="15" fillId="0" borderId="0" xfId="0" applyFont="1"/>
    <xf numFmtId="2" fontId="0" fillId="0" borderId="0" xfId="0" applyNumberFormat="1" applyFont="1"/>
    <xf numFmtId="0" fontId="0" fillId="0" borderId="3" xfId="0" applyFont="1" applyBorder="1"/>
    <xf numFmtId="0" fontId="0" fillId="0" borderId="5" xfId="0" applyFont="1" applyBorder="1"/>
    <xf numFmtId="0" fontId="0" fillId="0" borderId="45" xfId="0" applyFont="1" applyBorder="1"/>
    <xf numFmtId="0" fontId="0" fillId="0" borderId="46" xfId="0" applyFont="1" applyBorder="1"/>
    <xf numFmtId="0" fontId="0" fillId="0" borderId="47" xfId="0" applyFont="1" applyBorder="1"/>
    <xf numFmtId="0" fontId="0" fillId="0" borderId="48" xfId="0" applyFont="1" applyBorder="1" applyAlignment="1">
      <alignment wrapText="1"/>
    </xf>
    <xf numFmtId="0" fontId="0" fillId="0" borderId="45" xfId="0" applyFont="1" applyBorder="1" applyAlignment="1">
      <alignment vertical="center"/>
    </xf>
    <xf numFmtId="0" fontId="0" fillId="0" borderId="46" xfId="0" applyFont="1" applyBorder="1" applyAlignment="1">
      <alignment vertical="center"/>
    </xf>
    <xf numFmtId="2" fontId="0" fillId="0" borderId="6" xfId="0" applyNumberFormat="1" applyFont="1" applyBorder="1"/>
    <xf numFmtId="1" fontId="0" fillId="0" borderId="6" xfId="0" applyNumberFormat="1" applyFont="1" applyBorder="1"/>
    <xf numFmtId="1" fontId="0" fillId="0" borderId="7" xfId="0" applyNumberFormat="1" applyFont="1" applyBorder="1"/>
    <xf numFmtId="0" fontId="0" fillId="0" borderId="49" xfId="0" applyFont="1" applyBorder="1" applyAlignment="1">
      <alignment wrapText="1"/>
    </xf>
    <xf numFmtId="1" fontId="0" fillId="0" borderId="40" xfId="0" applyNumberFormat="1" applyFont="1" applyBorder="1"/>
    <xf numFmtId="2" fontId="16" fillId="0" borderId="0" xfId="0" applyNumberFormat="1" applyFont="1"/>
    <xf numFmtId="0" fontId="0" fillId="0" borderId="50" xfId="0" applyFont="1" applyBorder="1" applyAlignment="1">
      <alignment vertical="center"/>
    </xf>
    <xf numFmtId="0" fontId="0" fillId="0" borderId="51" xfId="0" applyFont="1" applyBorder="1"/>
    <xf numFmtId="0" fontId="0" fillId="0" borderId="52" xfId="0" applyFont="1" applyBorder="1"/>
    <xf numFmtId="0" fontId="11" fillId="0" borderId="0" xfId="0" applyFont="1" applyAlignment="1">
      <alignment wrapText="1"/>
    </xf>
    <xf numFmtId="2" fontId="11" fillId="0" borderId="0" xfId="0" applyNumberFormat="1" applyFont="1"/>
    <xf numFmtId="0" fontId="0" fillId="4" borderId="1" xfId="0" applyFont="1" applyFill="1" applyBorder="1"/>
    <xf numFmtId="0" fontId="0" fillId="0" borderId="41" xfId="0" applyFont="1" applyBorder="1" applyAlignment="1">
      <alignment wrapText="1"/>
    </xf>
    <xf numFmtId="0" fontId="0" fillId="0" borderId="42" xfId="0" applyFont="1" applyBorder="1" applyAlignment="1">
      <alignment wrapText="1"/>
    </xf>
    <xf numFmtId="0" fontId="0" fillId="0" borderId="43" xfId="0" applyFont="1" applyBorder="1" applyAlignment="1">
      <alignment wrapText="1"/>
    </xf>
    <xf numFmtId="0" fontId="0" fillId="0" borderId="45" xfId="0" applyFont="1" applyBorder="1" applyAlignment="1">
      <alignment wrapText="1"/>
    </xf>
    <xf numFmtId="0" fontId="0" fillId="0" borderId="46" xfId="0" applyFont="1" applyBorder="1" applyAlignment="1">
      <alignment wrapText="1"/>
    </xf>
    <xf numFmtId="0" fontId="0" fillId="0" borderId="47" xfId="0" applyFont="1" applyBorder="1" applyAlignment="1">
      <alignment wrapText="1"/>
    </xf>
    <xf numFmtId="0" fontId="16" fillId="0" borderId="0" xfId="0" applyFont="1"/>
    <xf numFmtId="0" fontId="0" fillId="0" borderId="51" xfId="0" applyFont="1" applyBorder="1" applyAlignment="1">
      <alignment wrapText="1"/>
    </xf>
    <xf numFmtId="0" fontId="0" fillId="0" borderId="52" xfId="0" applyFont="1" applyBorder="1" applyAlignment="1">
      <alignment wrapText="1"/>
    </xf>
    <xf numFmtId="0" fontId="0" fillId="0" borderId="41" xfId="0" applyFont="1" applyBorder="1" applyAlignment="1">
      <alignment vertical="center"/>
    </xf>
    <xf numFmtId="0" fontId="0" fillId="0" borderId="44" xfId="0" applyFont="1" applyBorder="1"/>
    <xf numFmtId="0" fontId="0" fillId="0" borderId="48" xfId="0" applyFont="1" applyBorder="1"/>
    <xf numFmtId="0" fontId="0" fillId="0" borderId="53" xfId="0" applyFont="1" applyBorder="1"/>
    <xf numFmtId="0" fontId="0" fillId="5" borderId="54" xfId="0" applyFont="1" applyFill="1" applyBorder="1" applyAlignment="1">
      <alignment horizontal="right"/>
    </xf>
    <xf numFmtId="2" fontId="0" fillId="5" borderId="55" xfId="0" applyNumberFormat="1" applyFont="1" applyFill="1" applyBorder="1"/>
    <xf numFmtId="0" fontId="11" fillId="0" borderId="56" xfId="0" applyFont="1" applyBorder="1"/>
    <xf numFmtId="0" fontId="11" fillId="0" borderId="57" xfId="0" applyFont="1" applyBorder="1"/>
    <xf numFmtId="167" fontId="0" fillId="0" borderId="0" xfId="0" applyNumberFormat="1" applyFont="1"/>
    <xf numFmtId="167" fontId="16" fillId="0" borderId="0" xfId="0" applyNumberFormat="1" applyFont="1"/>
    <xf numFmtId="167" fontId="11" fillId="0" borderId="0" xfId="0" applyNumberFormat="1" applyFont="1"/>
    <xf numFmtId="0" fontId="0" fillId="5" borderId="58" xfId="0" applyFont="1" applyFill="1" applyBorder="1"/>
    <xf numFmtId="0" fontId="0" fillId="0" borderId="58" xfId="0" applyFont="1" applyBorder="1"/>
    <xf numFmtId="0" fontId="0" fillId="5" borderId="1" xfId="0" applyFont="1" applyFill="1" applyBorder="1"/>
    <xf numFmtId="0" fontId="0" fillId="0" borderId="58" xfId="0" applyFont="1" applyBorder="1" applyAlignment="1">
      <alignment vertical="center"/>
    </xf>
    <xf numFmtId="1" fontId="0" fillId="6" borderId="1" xfId="0" applyNumberFormat="1" applyFont="1" applyFill="1" applyBorder="1"/>
    <xf numFmtId="0" fontId="0" fillId="0" borderId="59" xfId="0" applyFont="1" applyBorder="1" applyAlignment="1">
      <alignment vertical="center"/>
    </xf>
    <xf numFmtId="0" fontId="0" fillId="0" borderId="59" xfId="0" applyFont="1" applyBorder="1"/>
    <xf numFmtId="0" fontId="11" fillId="0" borderId="56" xfId="0" applyFont="1" applyBorder="1" applyAlignment="1">
      <alignment vertical="center"/>
    </xf>
    <xf numFmtId="0" fontId="0" fillId="0" borderId="54" xfId="0" applyFont="1" applyBorder="1"/>
    <xf numFmtId="0" fontId="0" fillId="6" borderId="1" xfId="0" applyFont="1" applyFill="1" applyBorder="1" applyAlignment="1">
      <alignment vertical="center"/>
    </xf>
    <xf numFmtId="0" fontId="0" fillId="6" borderId="1" xfId="0" applyFont="1" applyFill="1" applyBorder="1"/>
    <xf numFmtId="1" fontId="0" fillId="0" borderId="0" xfId="0" applyNumberFormat="1" applyFont="1"/>
    <xf numFmtId="0" fontId="4" fillId="0" borderId="3" xfId="0" applyFont="1" applyBorder="1"/>
    <xf numFmtId="168" fontId="17" fillId="0" borderId="60" xfId="0" applyNumberFormat="1" applyFont="1" applyBorder="1"/>
    <xf numFmtId="168" fontId="17" fillId="0" borderId="61" xfId="0" applyNumberFormat="1" applyFont="1" applyBorder="1"/>
    <xf numFmtId="0" fontId="4" fillId="0" borderId="6" xfId="0" applyFont="1" applyBorder="1"/>
    <xf numFmtId="168" fontId="17" fillId="0" borderId="62" xfId="0" applyNumberFormat="1" applyFont="1" applyBorder="1"/>
    <xf numFmtId="168" fontId="17" fillId="0" borderId="63" xfId="0" applyNumberFormat="1" applyFont="1" applyBorder="1"/>
    <xf numFmtId="166" fontId="17" fillId="0" borderId="62" xfId="0" applyNumberFormat="1" applyFont="1" applyBorder="1"/>
    <xf numFmtId="169" fontId="17" fillId="0" borderId="62" xfId="0" applyNumberFormat="1" applyFont="1" applyBorder="1"/>
    <xf numFmtId="0" fontId="4" fillId="0" borderId="11" xfId="0" applyFont="1" applyBorder="1"/>
    <xf numFmtId="168" fontId="0" fillId="0" borderId="59" xfId="0" applyNumberFormat="1" applyFont="1" applyBorder="1"/>
    <xf numFmtId="168" fontId="17" fillId="0" borderId="64" xfId="0" applyNumberFormat="1" applyFont="1" applyBorder="1"/>
    <xf numFmtId="168" fontId="0" fillId="0" borderId="62" xfId="0" applyNumberFormat="1" applyFont="1" applyBorder="1"/>
    <xf numFmtId="0" fontId="4" fillId="0" borderId="38" xfId="0" applyFont="1" applyBorder="1"/>
    <xf numFmtId="0" fontId="18" fillId="0" borderId="38" xfId="0" applyFont="1" applyBorder="1"/>
    <xf numFmtId="168" fontId="18" fillId="0" borderId="65" xfId="0" applyNumberFormat="1" applyFont="1" applyBorder="1"/>
    <xf numFmtId="170" fontId="19" fillId="0" borderId="66" xfId="0" applyNumberFormat="1" applyFont="1" applyBorder="1"/>
    <xf numFmtId="0" fontId="0" fillId="0" borderId="3" xfId="0" applyFont="1" applyBorder="1" applyAlignment="1">
      <alignment vertical="center"/>
    </xf>
    <xf numFmtId="0" fontId="0" fillId="0" borderId="5" xfId="0" applyFont="1" applyBorder="1" applyAlignment="1">
      <alignment wrapText="1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wrapText="1"/>
    </xf>
    <xf numFmtId="0" fontId="0" fillId="0" borderId="38" xfId="0" applyFont="1" applyBorder="1" applyAlignment="1">
      <alignment vertical="center"/>
    </xf>
    <xf numFmtId="0" fontId="0" fillId="0" borderId="39" xfId="0" applyFont="1" applyBorder="1" applyAlignment="1">
      <alignment wrapText="1"/>
    </xf>
    <xf numFmtId="0" fontId="0" fillId="0" borderId="40" xfId="0" applyFont="1" applyBorder="1" applyAlignment="1">
      <alignment wrapText="1"/>
    </xf>
    <xf numFmtId="0" fontId="0" fillId="0" borderId="46" xfId="0" applyFont="1" applyBorder="1" applyAlignment="1">
      <alignment vertical="center" wrapText="1"/>
    </xf>
    <xf numFmtId="2" fontId="0" fillId="0" borderId="46" xfId="0" applyNumberFormat="1" applyFont="1" applyBorder="1" applyAlignment="1">
      <alignment horizontal="right" wrapText="1"/>
    </xf>
    <xf numFmtId="0" fontId="0" fillId="0" borderId="46" xfId="0" applyFont="1" applyBorder="1" applyAlignment="1">
      <alignment horizontal="right" wrapText="1"/>
    </xf>
    <xf numFmtId="0" fontId="2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0" fillId="0" borderId="0" xfId="0" applyFont="1" applyFill="1"/>
    <xf numFmtId="0" fontId="0" fillId="0" borderId="0" xfId="0" applyFont="1" applyFill="1" applyAlignment="1"/>
    <xf numFmtId="1" fontId="11" fillId="0" borderId="7" xfId="0" applyNumberFormat="1" applyFont="1" applyBorder="1"/>
    <xf numFmtId="0" fontId="0" fillId="0" borderId="1" xfId="0" applyFont="1" applyFill="1" applyBorder="1" applyAlignment="1">
      <alignment horizontal="right"/>
    </xf>
    <xf numFmtId="14" fontId="0" fillId="0" borderId="1" xfId="0" applyNumberFormat="1" applyFont="1" applyFill="1" applyBorder="1"/>
    <xf numFmtId="0" fontId="3" fillId="0" borderId="1" xfId="0" applyFont="1" applyFill="1" applyBorder="1"/>
    <xf numFmtId="164" fontId="0" fillId="0" borderId="0" xfId="0" applyNumberFormat="1" applyFont="1" applyFill="1"/>
    <xf numFmtId="0" fontId="4" fillId="0" borderId="0" xfId="0" applyFont="1" applyFill="1"/>
    <xf numFmtId="170" fontId="0" fillId="0" borderId="2" xfId="0" applyNumberFormat="1" applyFont="1" applyFill="1" applyBorder="1"/>
    <xf numFmtId="0" fontId="0" fillId="0" borderId="2" xfId="0" applyFont="1" applyFill="1" applyBorder="1"/>
    <xf numFmtId="166" fontId="0" fillId="0" borderId="2" xfId="0" applyNumberFormat="1" applyFont="1" applyFill="1" applyBorder="1"/>
    <xf numFmtId="0" fontId="22" fillId="0" borderId="30" xfId="1" applyNumberFormat="1" applyFont="1" applyBorder="1"/>
    <xf numFmtId="0" fontId="23" fillId="0" borderId="7" xfId="0" applyFont="1" applyBorder="1"/>
    <xf numFmtId="0" fontId="22" fillId="0" borderId="7" xfId="0" applyFont="1" applyBorder="1"/>
    <xf numFmtId="1" fontId="23" fillId="0" borderId="10" xfId="0" applyNumberFormat="1" applyFont="1" applyBorder="1"/>
    <xf numFmtId="0" fontId="24" fillId="0" borderId="0" xfId="0" applyFont="1"/>
    <xf numFmtId="0" fontId="20" fillId="0" borderId="1" xfId="0" applyFont="1" applyFill="1" applyBorder="1"/>
    <xf numFmtId="14" fontId="3" fillId="0" borderId="1" xfId="0" applyNumberFormat="1" applyFont="1" applyFill="1" applyBorder="1"/>
    <xf numFmtId="0" fontId="25" fillId="2" borderId="2" xfId="0" applyFont="1" applyFill="1" applyBorder="1" applyAlignment="1">
      <alignment wrapText="1"/>
    </xf>
    <xf numFmtId="0" fontId="28" fillId="0" borderId="12" xfId="0" applyFont="1" applyBorder="1"/>
    <xf numFmtId="0" fontId="29" fillId="0" borderId="12" xfId="0" applyFont="1" applyBorder="1"/>
    <xf numFmtId="0" fontId="0" fillId="0" borderId="69" xfId="0" applyFont="1" applyBorder="1"/>
    <xf numFmtId="0" fontId="27" fillId="0" borderId="30" xfId="0" applyFont="1" applyBorder="1"/>
    <xf numFmtId="0" fontId="33" fillId="0" borderId="30" xfId="1" applyNumberFormat="1" applyFont="1" applyBorder="1"/>
    <xf numFmtId="0" fontId="32" fillId="0" borderId="30" xfId="0" applyFont="1" applyBorder="1"/>
    <xf numFmtId="0" fontId="20" fillId="8" borderId="69" xfId="0" applyFont="1" applyFill="1" applyBorder="1"/>
    <xf numFmtId="0" fontId="24" fillId="8" borderId="1" xfId="0" applyFont="1" applyFill="1" applyBorder="1"/>
    <xf numFmtId="0" fontId="26" fillId="8" borderId="1" xfId="0" applyFont="1" applyFill="1" applyBorder="1"/>
    <xf numFmtId="0" fontId="8" fillId="0" borderId="67" xfId="0" applyFont="1" applyBorder="1"/>
    <xf numFmtId="0" fontId="0" fillId="0" borderId="73" xfId="0" applyFont="1" applyBorder="1"/>
    <xf numFmtId="0" fontId="9" fillId="0" borderId="68" xfId="0" applyFont="1" applyBorder="1" applyAlignment="1">
      <alignment horizontal="right" vertical="center"/>
    </xf>
    <xf numFmtId="0" fontId="9" fillId="0" borderId="69" xfId="0" applyFont="1" applyBorder="1"/>
    <xf numFmtId="0" fontId="0" fillId="0" borderId="1" xfId="0" applyFont="1" applyBorder="1"/>
    <xf numFmtId="0" fontId="9" fillId="0" borderId="70" xfId="0" applyFont="1" applyBorder="1" applyAlignment="1">
      <alignment horizontal="right" vertical="center"/>
    </xf>
    <xf numFmtId="0" fontId="9" fillId="0" borderId="74" xfId="0" applyFont="1" applyBorder="1"/>
    <xf numFmtId="0" fontId="9" fillId="0" borderId="75" xfId="0" applyFont="1" applyBorder="1" applyAlignment="1">
      <alignment horizontal="right" vertical="center"/>
    </xf>
    <xf numFmtId="0" fontId="9" fillId="0" borderId="76" xfId="0" applyFont="1" applyBorder="1"/>
    <xf numFmtId="0" fontId="20" fillId="0" borderId="1" xfId="0" applyFont="1" applyBorder="1"/>
    <xf numFmtId="0" fontId="30" fillId="0" borderId="77" xfId="0" applyFont="1" applyBorder="1" applyAlignment="1">
      <alignment horizontal="right" vertical="center"/>
    </xf>
    <xf numFmtId="0" fontId="3" fillId="0" borderId="1" xfId="0" applyFont="1" applyBorder="1"/>
    <xf numFmtId="14" fontId="9" fillId="0" borderId="1" xfId="0" applyNumberFormat="1" applyFont="1" applyBorder="1"/>
    <xf numFmtId="14" fontId="0" fillId="0" borderId="1" xfId="0" applyNumberFormat="1" applyFont="1" applyBorder="1"/>
    <xf numFmtId="0" fontId="8" fillId="0" borderId="74" xfId="0" applyFont="1" applyBorder="1"/>
    <xf numFmtId="0" fontId="8" fillId="3" borderId="78" xfId="0" applyFont="1" applyFill="1" applyBorder="1"/>
    <xf numFmtId="0" fontId="0" fillId="3" borderId="17" xfId="0" applyFont="1" applyFill="1" applyBorder="1"/>
    <xf numFmtId="0" fontId="9" fillId="3" borderId="79" xfId="0" applyFont="1" applyFill="1" applyBorder="1" applyAlignment="1">
      <alignment horizontal="right" vertical="center"/>
    </xf>
    <xf numFmtId="0" fontId="0" fillId="0" borderId="80" xfId="0" applyFont="1" applyBorder="1"/>
    <xf numFmtId="0" fontId="0" fillId="0" borderId="81" xfId="0" applyFont="1" applyBorder="1"/>
    <xf numFmtId="0" fontId="3" fillId="0" borderId="82" xfId="0" applyFont="1" applyBorder="1"/>
    <xf numFmtId="0" fontId="9" fillId="0" borderId="83" xfId="0" applyFont="1" applyBorder="1" applyAlignment="1">
      <alignment horizontal="center" vertical="center"/>
    </xf>
    <xf numFmtId="0" fontId="31" fillId="0" borderId="1" xfId="0" applyFont="1" applyBorder="1"/>
    <xf numFmtId="0" fontId="12" fillId="0" borderId="1" xfId="0" applyFont="1" applyBorder="1"/>
    <xf numFmtId="0" fontId="23" fillId="0" borderId="70" xfId="0" applyFont="1" applyBorder="1"/>
    <xf numFmtId="0" fontId="3" fillId="0" borderId="69" xfId="0" applyFont="1" applyBorder="1"/>
    <xf numFmtId="0" fontId="26" fillId="8" borderId="69" xfId="0" applyFont="1" applyFill="1" applyBorder="1"/>
    <xf numFmtId="0" fontId="5" fillId="0" borderId="1" xfId="0" applyFont="1" applyBorder="1"/>
    <xf numFmtId="0" fontId="22" fillId="0" borderId="70" xfId="0" applyFont="1" applyBorder="1"/>
    <xf numFmtId="0" fontId="0" fillId="0" borderId="1" xfId="0" applyFont="1" applyBorder="1" applyAlignment="1"/>
    <xf numFmtId="0" fontId="0" fillId="0" borderId="74" xfId="0" applyFont="1" applyBorder="1"/>
    <xf numFmtId="1" fontId="23" fillId="0" borderId="75" xfId="0" applyNumberFormat="1" applyFont="1" applyBorder="1"/>
    <xf numFmtId="0" fontId="0" fillId="3" borderId="69" xfId="0" applyFont="1" applyFill="1" applyBorder="1"/>
    <xf numFmtId="0" fontId="0" fillId="3" borderId="70" xfId="0" applyFont="1" applyFill="1" applyBorder="1"/>
    <xf numFmtId="0" fontId="10" fillId="0" borderId="1" xfId="0" applyFont="1" applyBorder="1"/>
    <xf numFmtId="0" fontId="11" fillId="0" borderId="1" xfId="0" applyFont="1" applyBorder="1"/>
    <xf numFmtId="1" fontId="11" fillId="0" borderId="70" xfId="0" applyNumberFormat="1" applyFont="1" applyBorder="1"/>
    <xf numFmtId="0" fontId="0" fillId="0" borderId="70" xfId="0" applyFont="1" applyBorder="1"/>
    <xf numFmtId="0" fontId="14" fillId="0" borderId="1" xfId="0" applyFont="1" applyBorder="1"/>
    <xf numFmtId="0" fontId="0" fillId="0" borderId="71" xfId="0" applyFont="1" applyBorder="1"/>
    <xf numFmtId="0" fontId="0" fillId="0" borderId="84" xfId="0" applyFont="1" applyBorder="1"/>
    <xf numFmtId="0" fontId="0" fillId="0" borderId="72" xfId="0" applyFont="1" applyBorder="1"/>
    <xf numFmtId="0" fontId="20" fillId="0" borderId="0" xfId="0" applyFont="1" applyAlignment="1"/>
    <xf numFmtId="1" fontId="0" fillId="0" borderId="0" xfId="0" applyNumberFormat="1" applyFont="1" applyAlignment="1"/>
    <xf numFmtId="0" fontId="0" fillId="9" borderId="0" xfId="0" applyFont="1" applyFill="1" applyAlignment="1"/>
    <xf numFmtId="0" fontId="32" fillId="7" borderId="0" xfId="0" applyFont="1" applyFill="1" applyAlignment="1"/>
    <xf numFmtId="1" fontId="32" fillId="7" borderId="0" xfId="0" applyNumberFormat="1" applyFont="1" applyFill="1" applyAlignment="1"/>
    <xf numFmtId="0" fontId="35" fillId="0" borderId="0" xfId="0" applyFont="1" applyAlignment="1"/>
    <xf numFmtId="0" fontId="35" fillId="10" borderId="85" xfId="0" applyFont="1" applyFill="1" applyBorder="1" applyAlignment="1"/>
    <xf numFmtId="0" fontId="35" fillId="10" borderId="86" xfId="0" applyFont="1" applyFill="1" applyBorder="1" applyAlignment="1"/>
    <xf numFmtId="0" fontId="35" fillId="10" borderId="87" xfId="0" applyFont="1" applyFill="1" applyBorder="1" applyAlignment="1"/>
    <xf numFmtId="20" fontId="0" fillId="0" borderId="88" xfId="0" applyNumberFormat="1" applyFont="1" applyBorder="1" applyAlignment="1"/>
    <xf numFmtId="0" fontId="20" fillId="0" borderId="88" xfId="0" applyFont="1" applyBorder="1" applyAlignment="1"/>
    <xf numFmtId="0" fontId="0" fillId="0" borderId="88" xfId="0" applyFont="1" applyBorder="1" applyAlignment="1"/>
    <xf numFmtId="0" fontId="36" fillId="11" borderId="88" xfId="0" applyFont="1" applyFill="1" applyBorder="1" applyAlignment="1">
      <alignment wrapText="1"/>
    </xf>
    <xf numFmtId="0" fontId="20" fillId="0" borderId="88" xfId="0" applyFont="1" applyFill="1" applyBorder="1" applyAlignment="1"/>
    <xf numFmtId="1" fontId="0" fillId="0" borderId="88" xfId="0" applyNumberFormat="1" applyFont="1" applyBorder="1" applyAlignment="1"/>
    <xf numFmtId="1" fontId="20" fillId="0" borderId="88" xfId="0" applyNumberFormat="1" applyFont="1" applyBorder="1" applyAlignment="1"/>
    <xf numFmtId="0" fontId="20" fillId="0" borderId="41" xfId="0" applyFont="1" applyBorder="1" applyAlignment="1">
      <alignment vertical="center"/>
    </xf>
    <xf numFmtId="0" fontId="25" fillId="2" borderId="1" xfId="0" applyFont="1" applyFill="1" applyBorder="1" applyAlignment="1">
      <alignment wrapText="1"/>
    </xf>
    <xf numFmtId="0" fontId="20" fillId="0" borderId="1" xfId="0" applyFont="1" applyFill="1" applyBorder="1" applyAlignment="1">
      <alignment horizontal="right"/>
    </xf>
    <xf numFmtId="0" fontId="37" fillId="12" borderId="0" xfId="0" applyFont="1" applyFill="1" applyAlignment="1"/>
    <xf numFmtId="0" fontId="0" fillId="0" borderId="92" xfId="0" applyFont="1" applyBorder="1" applyAlignment="1">
      <alignment vertical="center"/>
    </xf>
    <xf numFmtId="0" fontId="0" fillId="0" borderId="93" xfId="0" applyFont="1" applyBorder="1" applyAlignment="1">
      <alignment wrapText="1"/>
    </xf>
    <xf numFmtId="0" fontId="0" fillId="0" borderId="94" xfId="0" applyFont="1" applyBorder="1" applyAlignment="1">
      <alignment wrapText="1"/>
    </xf>
    <xf numFmtId="0" fontId="0" fillId="14" borderId="0" xfId="0" applyFont="1" applyFill="1"/>
    <xf numFmtId="14" fontId="0" fillId="14" borderId="0" xfId="0" applyNumberFormat="1" applyFont="1" applyFill="1"/>
    <xf numFmtId="0" fontId="20" fillId="14" borderId="0" xfId="0" applyFont="1" applyFill="1"/>
    <xf numFmtId="0" fontId="0" fillId="14" borderId="0" xfId="0" applyFont="1" applyFill="1" applyAlignment="1"/>
    <xf numFmtId="0" fontId="0" fillId="0" borderId="95" xfId="0" applyFont="1" applyBorder="1"/>
    <xf numFmtId="165" fontId="0" fillId="0" borderId="95" xfId="0" applyNumberFormat="1" applyFont="1" applyBorder="1"/>
    <xf numFmtId="0" fontId="4" fillId="0" borderId="95" xfId="0" applyFont="1" applyBorder="1"/>
    <xf numFmtId="0" fontId="0" fillId="0" borderId="95" xfId="0" applyFont="1" applyBorder="1" applyAlignment="1"/>
    <xf numFmtId="14" fontId="0" fillId="0" borderId="0" xfId="0" applyNumberFormat="1" applyFont="1" applyFill="1"/>
    <xf numFmtId="0" fontId="0" fillId="0" borderId="68" xfId="0" applyFont="1" applyBorder="1"/>
    <xf numFmtId="0" fontId="2" fillId="2" borderId="96" xfId="0" applyFont="1" applyFill="1" applyBorder="1" applyAlignment="1">
      <alignment wrapText="1"/>
    </xf>
    <xf numFmtId="0" fontId="2" fillId="2" borderId="70" xfId="0" applyFont="1" applyFill="1" applyBorder="1" applyAlignment="1"/>
    <xf numFmtId="0" fontId="0" fillId="0" borderId="69" xfId="0" applyFont="1" applyFill="1" applyBorder="1"/>
    <xf numFmtId="170" fontId="0" fillId="0" borderId="70" xfId="0" applyNumberFormat="1" applyFont="1" applyFill="1" applyBorder="1"/>
    <xf numFmtId="0" fontId="0" fillId="0" borderId="70" xfId="0" applyFont="1" applyFill="1" applyBorder="1"/>
    <xf numFmtId="0" fontId="0" fillId="0" borderId="69" xfId="0" applyFont="1" applyBorder="1" applyAlignment="1"/>
    <xf numFmtId="0" fontId="0" fillId="0" borderId="70" xfId="0" applyFont="1" applyBorder="1" applyAlignment="1"/>
    <xf numFmtId="0" fontId="2" fillId="2" borderId="70" xfId="0" applyFont="1" applyFill="1" applyBorder="1" applyAlignment="1">
      <alignment wrapText="1"/>
    </xf>
    <xf numFmtId="0" fontId="0" fillId="0" borderId="71" xfId="0" applyFont="1" applyFill="1" applyBorder="1"/>
    <xf numFmtId="0" fontId="0" fillId="0" borderId="84" xfId="0" applyFont="1" applyFill="1" applyBorder="1"/>
    <xf numFmtId="0" fontId="0" fillId="0" borderId="72" xfId="0" applyFont="1" applyFill="1" applyBorder="1"/>
    <xf numFmtId="0" fontId="35" fillId="0" borderId="67" xfId="0" applyFont="1" applyBorder="1"/>
    <xf numFmtId="0" fontId="38" fillId="0" borderId="97" xfId="0" applyFont="1" applyBorder="1"/>
    <xf numFmtId="0" fontId="35" fillId="10" borderId="67" xfId="0" applyFont="1" applyFill="1" applyBorder="1" applyAlignment="1"/>
    <xf numFmtId="0" fontId="35" fillId="10" borderId="73" xfId="0" applyNumberFormat="1" applyFont="1" applyFill="1" applyBorder="1" applyAlignment="1"/>
    <xf numFmtId="0" fontId="35" fillId="10" borderId="68" xfId="0" applyFont="1" applyFill="1" applyBorder="1" applyAlignment="1"/>
    <xf numFmtId="0" fontId="0" fillId="0" borderId="1" xfId="0" applyNumberFormat="1" applyFont="1" applyBorder="1" applyAlignment="1"/>
    <xf numFmtId="0" fontId="20" fillId="0" borderId="71" xfId="0" applyFont="1" applyBorder="1" applyAlignment="1"/>
    <xf numFmtId="0" fontId="0" fillId="0" borderId="84" xfId="0" applyFont="1" applyBorder="1" applyAlignment="1"/>
    <xf numFmtId="0" fontId="0" fillId="0" borderId="72" xfId="0" applyFont="1" applyBorder="1" applyAlignment="1"/>
    <xf numFmtId="0" fontId="20" fillId="15" borderId="69" xfId="0" applyFont="1" applyFill="1" applyBorder="1" applyAlignment="1"/>
    <xf numFmtId="0" fontId="0" fillId="15" borderId="1" xfId="0" applyFont="1" applyFill="1" applyBorder="1" applyAlignment="1"/>
    <xf numFmtId="0" fontId="0" fillId="15" borderId="70" xfId="0" applyFont="1" applyFill="1" applyBorder="1" applyAlignment="1"/>
    <xf numFmtId="0" fontId="20" fillId="0" borderId="1" xfId="0" applyFont="1" applyBorder="1" applyAlignment="1"/>
    <xf numFmtId="0" fontId="20" fillId="0" borderId="1" xfId="0" applyFont="1" applyFill="1" applyBorder="1" applyAlignment="1"/>
    <xf numFmtId="0" fontId="0" fillId="0" borderId="1" xfId="0" applyFont="1" applyFill="1" applyBorder="1" applyAlignment="1"/>
    <xf numFmtId="0" fontId="20" fillId="15" borderId="67" xfId="0" applyFont="1" applyFill="1" applyBorder="1" applyAlignment="1"/>
    <xf numFmtId="0" fontId="0" fillId="15" borderId="73" xfId="0" applyFont="1" applyFill="1" applyBorder="1" applyAlignment="1"/>
    <xf numFmtId="0" fontId="0" fillId="15" borderId="68" xfId="0" applyFont="1" applyFill="1" applyBorder="1" applyAlignment="1"/>
    <xf numFmtId="0" fontId="20" fillId="0" borderId="98" xfId="0" applyFont="1" applyBorder="1" applyAlignment="1"/>
    <xf numFmtId="0" fontId="0" fillId="0" borderId="98" xfId="0" applyFont="1" applyBorder="1" applyAlignment="1"/>
    <xf numFmtId="0" fontId="0" fillId="0" borderId="98" xfId="0" applyFont="1" applyFill="1" applyBorder="1" applyAlignment="1"/>
    <xf numFmtId="0" fontId="0" fillId="15" borderId="99" xfId="0" applyFont="1" applyFill="1" applyBorder="1" applyAlignment="1"/>
    <xf numFmtId="0" fontId="0" fillId="15" borderId="98" xfId="0" applyFont="1" applyFill="1" applyBorder="1" applyAlignment="1"/>
    <xf numFmtId="0" fontId="32" fillId="16" borderId="67" xfId="0" applyFont="1" applyFill="1" applyBorder="1" applyAlignment="1"/>
    <xf numFmtId="0" fontId="32" fillId="16" borderId="73" xfId="0" applyFont="1" applyFill="1" applyBorder="1" applyAlignment="1"/>
    <xf numFmtId="0" fontId="32" fillId="16" borderId="71" xfId="0" applyFont="1" applyFill="1" applyBorder="1" applyAlignment="1"/>
    <xf numFmtId="2" fontId="32" fillId="16" borderId="84" xfId="0" applyNumberFormat="1" applyFont="1" applyFill="1" applyBorder="1" applyAlignment="1"/>
    <xf numFmtId="2" fontId="32" fillId="16" borderId="72" xfId="0" applyNumberFormat="1" applyFont="1" applyFill="1" applyBorder="1" applyAlignment="1"/>
    <xf numFmtId="0" fontId="32" fillId="16" borderId="1" xfId="0" applyFont="1" applyFill="1" applyBorder="1" applyAlignment="1"/>
    <xf numFmtId="2" fontId="32" fillId="16" borderId="1" xfId="0" applyNumberFormat="1" applyFont="1" applyFill="1" applyBorder="1" applyAlignment="1"/>
    <xf numFmtId="0" fontId="32" fillId="16" borderId="68" xfId="0" applyFont="1" applyFill="1" applyBorder="1" applyAlignment="1"/>
    <xf numFmtId="0" fontId="32" fillId="16" borderId="69" xfId="0" applyFont="1" applyFill="1" applyBorder="1" applyAlignment="1"/>
    <xf numFmtId="2" fontId="32" fillId="16" borderId="70" xfId="0" applyNumberFormat="1" applyFont="1" applyFill="1" applyBorder="1" applyAlignment="1"/>
    <xf numFmtId="0" fontId="39" fillId="0" borderId="0" xfId="0" applyFont="1" applyAlignment="1"/>
    <xf numFmtId="0" fontId="32" fillId="0" borderId="0" xfId="0" applyFont="1" applyAlignment="1"/>
    <xf numFmtId="0" fontId="32" fillId="0" borderId="0" xfId="0" applyFont="1" applyAlignment="1">
      <alignment wrapText="1"/>
    </xf>
    <xf numFmtId="0" fontId="35" fillId="0" borderId="0" xfId="0" applyFont="1" applyAlignment="1">
      <alignment vertical="top"/>
    </xf>
    <xf numFmtId="14" fontId="0" fillId="0" borderId="0" xfId="0" applyNumberFormat="1" applyFont="1" applyAlignment="1"/>
    <xf numFmtId="14" fontId="20" fillId="0" borderId="0" xfId="0" applyNumberFormat="1" applyFont="1" applyAlignment="1"/>
    <xf numFmtId="0" fontId="32" fillId="14" borderId="0" xfId="0" applyFont="1" applyFill="1" applyAlignment="1">
      <alignment horizontal="center" wrapText="1"/>
    </xf>
    <xf numFmtId="0" fontId="32" fillId="13" borderId="89" xfId="0" applyFont="1" applyFill="1" applyBorder="1" applyAlignment="1">
      <alignment vertical="center" wrapText="1"/>
    </xf>
    <xf numFmtId="0" fontId="32" fillId="13" borderId="90" xfId="0" applyFont="1" applyFill="1" applyBorder="1" applyAlignment="1">
      <alignment vertical="center" wrapText="1"/>
    </xf>
    <xf numFmtId="0" fontId="32" fillId="13" borderId="91" xfId="0" applyFont="1" applyFill="1" applyBorder="1" applyAlignment="1">
      <alignment vertical="center" wrapText="1"/>
    </xf>
    <xf numFmtId="0" fontId="12" fillId="0" borderId="36" xfId="0" applyFont="1" applyBorder="1" applyAlignment="1">
      <alignment horizontal="left" wrapText="1"/>
    </xf>
    <xf numFmtId="0" fontId="13" fillId="0" borderId="37" xfId="0" applyFont="1" applyBorder="1"/>
    <xf numFmtId="0" fontId="13" fillId="0" borderId="31" xfId="0" applyFont="1" applyBorder="1"/>
    <xf numFmtId="0" fontId="13" fillId="0" borderId="30" xfId="0" applyFont="1" applyBorder="1"/>
    <xf numFmtId="0" fontId="13" fillId="0" borderId="33" xfId="0" applyFont="1" applyBorder="1"/>
    <xf numFmtId="0" fontId="13" fillId="0" borderId="32" xfId="0" applyFont="1" applyBorder="1"/>
    <xf numFmtId="0" fontId="41" fillId="0" borderId="0" xfId="0" applyFont="1" applyAlignment="1"/>
    <xf numFmtId="0" fontId="26" fillId="0" borderId="1" xfId="0" applyFont="1" applyFill="1" applyBorder="1"/>
    <xf numFmtId="0" fontId="20" fillId="15" borderId="0" xfId="0" applyFont="1" applyFill="1" applyAlignment="1"/>
    <xf numFmtId="0" fontId="0" fillId="15" borderId="0" xfId="0" applyFont="1" applyFill="1" applyAlignment="1"/>
    <xf numFmtId="0" fontId="0" fillId="17" borderId="0" xfId="0" applyFont="1" applyFill="1" applyAlignment="1"/>
    <xf numFmtId="0" fontId="20" fillId="0" borderId="0" xfId="0" applyFont="1" applyAlignment="1">
      <alignment wrapText="1"/>
    </xf>
    <xf numFmtId="2" fontId="0" fillId="0" borderId="0" xfId="0" applyNumberFormat="1" applyFont="1" applyAlignment="1"/>
    <xf numFmtId="0" fontId="40" fillId="18" borderId="100" xfId="0" applyFont="1" applyFill="1" applyBorder="1" applyAlignment="1"/>
    <xf numFmtId="0" fontId="40" fillId="18" borderId="1" xfId="0" applyFont="1" applyFill="1" applyBorder="1" applyAlignment="1"/>
    <xf numFmtId="0" fontId="40" fillId="18" borderId="1" xfId="0" applyFont="1" applyFill="1" applyBorder="1" applyAlignment="1">
      <alignment wrapText="1"/>
    </xf>
    <xf numFmtId="0" fontId="40" fillId="18" borderId="101" xfId="0" applyFont="1" applyFill="1" applyBorder="1" applyAlignment="1"/>
    <xf numFmtId="44" fontId="32" fillId="0" borderId="0" xfId="1" applyFont="1" applyAlignment="1"/>
    <xf numFmtId="44" fontId="0" fillId="0" borderId="0" xfId="0" applyNumberFormat="1" applyFont="1" applyAlignment="1"/>
  </cellXfs>
  <cellStyles count="2">
    <cellStyle name="Moneda" xfId="1" builtinId="4"/>
    <cellStyle name="Normal" xfId="0" builtinId="0"/>
  </cellStyles>
  <dxfs count="25">
    <dxf>
      <numFmt numFmtId="34" formatCode="_-&quot;$&quot;\ * #,##0.00_-;\-&quot;$&quot;\ * #,##0.00_-;_-&quot;$&quot;\ * &quot;-&quot;??_-;_-@_-"/>
    </dxf>
    <dxf>
      <numFmt numFmtId="34" formatCode="_-&quot;$&quot;\ * #,##0.00_-;\-&quot;$&quot;\ * #,##0.00_-;_-&quot;$&quot;\ * &quot;-&quot;??_-;_-@_-"/>
    </dxf>
    <dxf>
      <numFmt numFmtId="34" formatCode="_-&quot;$&quot;\ * #,##0.00_-;\-&quot;$&quot;\ * #,##0.00_-;_-&quot;$&quot;\ * &quot;-&quot;??_-;_-@_-"/>
    </dxf>
    <dxf>
      <numFmt numFmtId="0" formatCode="General"/>
    </dxf>
    <dxf>
      <numFmt numFmtId="34" formatCode="_-&quot;$&quot;\ * #,##0.00_-;\-&quot;$&quot;\ * #,##0.00_-;_-&quot;$&quot;\ * &quot;-&quot;??_-;_-@_-"/>
    </dxf>
    <dxf>
      <numFmt numFmtId="34" formatCode="_-&quot;$&quot;\ * #,##0.00_-;\-&quot;$&quot;\ * #,##0.00_-;_-&quot;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solid">
          <fgColor theme="6"/>
          <bgColor theme="6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" formatCode="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9" formatCode="d/m/yyyy"/>
      <alignment horizontal="general" vertical="bottom" textRotation="0" wrapText="0" indent="0" justifyLastLine="0" shrinkToFit="0" readingOrder="0"/>
    </dxf>
    <dxf>
      <border outline="0">
        <top style="thin">
          <color theme="6"/>
        </top>
      </border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" formatCode="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9" formatCode="d/m/yyyy"/>
      <alignment horizontal="general" vertical="bottom" textRotation="0" wrapText="0" indent="0" justifyLastLine="0" shrinkToFit="0" readingOrder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border diagonalUp="0" diagonalDown="0">
        <left/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30</xdr:row>
      <xdr:rowOff>76200</xdr:rowOff>
    </xdr:from>
    <xdr:ext cx="3914775" cy="857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393375" y="3741900"/>
          <a:ext cx="3905250" cy="762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marR="0" lvl="0" indent="0" algn="l" rtl="0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r>
            <a:rPr lang="en-US" sz="1200" b="0" i="0" u="none" strike="noStrike" cap="none">
              <a:latin typeface="Arial"/>
              <a:ea typeface="Arial"/>
              <a:cs typeface="Arial"/>
              <a:sym typeface="Arial"/>
            </a:rPr>
            <a:t>          </a:t>
          </a:r>
          <a:endParaRPr sz="1400"/>
        </a:p>
      </xdr:txBody>
    </xdr:sp>
    <xdr:clientData fLocksWithSheet="0"/>
  </xdr:oneCellAnchor>
  <xdr:oneCellAnchor>
    <xdr:from>
      <xdr:col>6</xdr:col>
      <xdr:colOff>447675</xdr:colOff>
      <xdr:row>31</xdr:row>
      <xdr:rowOff>0</xdr:rowOff>
    </xdr:from>
    <xdr:ext cx="2905125" cy="1714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898200" y="3699038"/>
          <a:ext cx="2895600" cy="16192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marR="0" lvl="0" indent="0" algn="l" rtl="0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endParaRPr sz="1200" b="0" i="0" u="none" strike="noStrike" cap="none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5</xdr:col>
      <xdr:colOff>295275</xdr:colOff>
      <xdr:row>35</xdr:row>
      <xdr:rowOff>0</xdr:rowOff>
    </xdr:from>
    <xdr:ext cx="2000250" cy="952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4350638" y="3737138"/>
          <a:ext cx="1990725" cy="8572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marR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 b="0" i="0" u="none" strike="noStrike" cap="none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</xdr:col>
      <xdr:colOff>314325</xdr:colOff>
      <xdr:row>69</xdr:row>
      <xdr:rowOff>76200</xdr:rowOff>
    </xdr:from>
    <xdr:ext cx="3914775" cy="85725"/>
    <xdr:sp macro="" textlink="">
      <xdr:nvSpPr>
        <xdr:cNvPr id="10" name="Shape 3">
          <a:extLst>
            <a:ext uri="{FF2B5EF4-FFF2-40B4-BE49-F238E27FC236}">
              <a16:creationId xmlns:a16="http://schemas.microsoft.com/office/drawing/2014/main" id="{620F5013-FEC3-4526-8C6C-37E64FD49F95}"/>
            </a:ext>
          </a:extLst>
        </xdr:cNvPr>
        <xdr:cNvSpPr txBox="1"/>
      </xdr:nvSpPr>
      <xdr:spPr>
        <a:xfrm>
          <a:off x="1046443" y="5940612"/>
          <a:ext cx="3914775" cy="8572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marR="0" lvl="0" indent="0" algn="l" rtl="0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r>
            <a:rPr lang="en-US" sz="1200" b="0" i="0" u="none" strike="noStrike" cap="none">
              <a:latin typeface="Arial"/>
              <a:ea typeface="Arial"/>
              <a:cs typeface="Arial"/>
              <a:sym typeface="Arial"/>
            </a:rPr>
            <a:t>          </a:t>
          </a:r>
          <a:endParaRPr sz="1400"/>
        </a:p>
      </xdr:txBody>
    </xdr:sp>
    <xdr:clientData fLocksWithSheet="0"/>
  </xdr:oneCellAnchor>
  <xdr:oneCellAnchor>
    <xdr:from>
      <xdr:col>6</xdr:col>
      <xdr:colOff>447675</xdr:colOff>
      <xdr:row>70</xdr:row>
      <xdr:rowOff>0</xdr:rowOff>
    </xdr:from>
    <xdr:ext cx="2905125" cy="171450"/>
    <xdr:sp macro="" textlink="">
      <xdr:nvSpPr>
        <xdr:cNvPr id="11" name="Shape 4">
          <a:extLst>
            <a:ext uri="{FF2B5EF4-FFF2-40B4-BE49-F238E27FC236}">
              <a16:creationId xmlns:a16="http://schemas.microsoft.com/office/drawing/2014/main" id="{18B5D396-B428-4D68-BBFA-3BE60020C2B6}"/>
            </a:ext>
          </a:extLst>
        </xdr:cNvPr>
        <xdr:cNvSpPr txBox="1"/>
      </xdr:nvSpPr>
      <xdr:spPr>
        <a:xfrm>
          <a:off x="8583146" y="6066118"/>
          <a:ext cx="2905125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marR="0" lvl="0" indent="0" algn="l" rtl="0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endParaRPr sz="1200" b="0" i="0" u="none" strike="noStrike" cap="none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8E4AD15-0D7D-44E8-8B18-D66340DD94CF}" name="Tabla4" displayName="Tabla4" ref="A4:O6" totalsRowShown="0" headerRowDxfId="18">
  <autoFilter ref="A4:O6" xr:uid="{38E4AD15-0D7D-44E8-8B18-D66340DD94CF}"/>
  <tableColumns count="15">
    <tableColumn id="1" xr3:uid="{86664601-0F84-4210-9212-A266CCFC3E2D}" name="Trabajador" dataDxfId="19"/>
    <tableColumn id="2" xr3:uid="{33C37360-8C85-48A9-AFE7-833A09C3E238}" name="Jornal"/>
    <tableColumn id="3" xr3:uid="{C8E22F67-AD4E-4391-B33E-BA4D0589F8D7}" name="Sueldo"/>
    <tableColumn id="4" xr3:uid="{C5C61571-A58C-454F-8158-A4001584F9A0}" name="Enero">
      <calculatedColumnFormula>B5*25+D7+D8</calculatedColumnFormula>
    </tableColumn>
    <tableColumn id="5" xr3:uid="{DAC325B4-D15D-4A6D-A9EF-15D8456D0BAB}" name="Feb" dataDxfId="17">
      <calculatedColumnFormula>45000+D12</calculatedColumnFormula>
    </tableColumn>
    <tableColumn id="6" xr3:uid="{4907A76C-D153-4488-9126-56AB1B4614B2}" name="Mar"/>
    <tableColumn id="7" xr3:uid="{05475AC4-D4BB-43D8-A81C-A0C1AE232058}" name="Abr"/>
    <tableColumn id="8" xr3:uid="{33C11E95-3117-4C6B-B1E7-BD0942E306B1}" name="May"/>
    <tableColumn id="9" xr3:uid="{7F6758A0-4B72-47E3-ACAF-19A7306A054E}" name="Jun"/>
    <tableColumn id="10" xr3:uid="{C9DF786C-4638-4AED-8D21-EC719F38E9D3}" name="Jul"/>
    <tableColumn id="11" xr3:uid="{E304A37D-2D8F-47E9-801F-E3F858368E83}" name="Ago"/>
    <tableColumn id="12" xr3:uid="{AB5689E6-29E2-479D-ADA1-A2250BA68B66}" name="set"/>
    <tableColumn id="13" xr3:uid="{4D174BB0-F469-41EA-BFCB-C6B108A36DA3}" name="Oct"/>
    <tableColumn id="14" xr3:uid="{40635EB6-A26F-487D-ADCA-3D3195CD9F07}" name="Nov"/>
    <tableColumn id="15" xr3:uid="{D44F1496-6C80-403D-913A-113C10FDB657}" name="Dic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C2F63FC-AC24-4192-BB3C-15669AF56941}" name="Tabla5" displayName="Tabla5" ref="A6:N13" totalsRowShown="0" headerRowDxfId="14">
  <autoFilter ref="A6:N13" xr:uid="{DC2F63FC-AC24-4192-BB3C-15669AF56941}"/>
  <tableColumns count="14">
    <tableColumn id="1" xr3:uid="{E3914C71-B4A2-4577-8C14-7370DA395AE1}" name="Nombre"/>
    <tableColumn id="2" xr3:uid="{4378B51D-7CAA-4C69-91C7-0AACE1D06AA8}" name="Tipo de Contrato"/>
    <tableColumn id="3" xr3:uid="{3DC73A24-EC80-49E1-BB6B-B9845434BD75}" name="Ingreso"/>
    <tableColumn id="4" xr3:uid="{D9F3EC06-E83B-484E-8DF9-F4E1D3575769}" name="Despido" dataDxfId="16"/>
    <tableColumn id="5" xr3:uid="{E8A4CDC4-1DA6-4187-8E46-45053B141714}" name="Dias trabajados" dataDxfId="15"/>
    <tableColumn id="6" xr3:uid="{F5A38965-3DB7-4156-81EA-C8DDD43C9170}" name="Bases IPD"/>
    <tableColumn id="7" xr3:uid="{E0BF3E2E-BC93-4255-9A64-47D91966EFC8}" name="Salario"/>
    <tableColumn id="10" xr3:uid="{002D2F74-1626-48DC-A02B-72C4E432E08F}" name="Aguinaldo" dataDxfId="13">
      <calculatedColumnFormula>Tabla5[[#This Row],[Salario]]*12/12</calculatedColumnFormula>
    </tableColumn>
    <tableColumn id="12" xr3:uid="{13692485-A7D0-4AAF-976F-25CF5EC4F9A1}" name="Comision"/>
    <tableColumn id="11" xr3:uid="{4DB10DE7-2E44-4DAB-858A-6D4E55464368}" name="Presentismo"/>
    <tableColumn id="9" xr3:uid="{4F18DE62-B0B2-47B1-874D-6D222A3899C7}" name="Licencia 2020" dataDxfId="3">
      <calculatedColumnFormula>+Tabla5[[#This Row],[Salario]]/30*20</calculatedColumnFormula>
    </tableColumn>
    <tableColumn id="8" xr3:uid="{DC965D92-C9C4-4886-9061-61689FBA7B97}" name="Salario Anual" dataDxfId="12">
      <calculatedColumnFormula>Tabla5[[#This Row],[Salario]]*12+Tabla5[[#This Row],[Aguinaldo]]+Tabla5[[#This Row],[Comision]]*12+Tabla5[[#This Row],[Presentismo]]*8+Tabla5[[#This Row],[Licencia 2020]]</calculatedColumnFormula>
    </tableColumn>
    <tableColumn id="13" xr3:uid="{7EAC9481-54AD-49A8-9A65-B666B4CABA0B}" name="BASE SALARIAL MENSUAL IPD" dataDxfId="11">
      <calculatedColumnFormula>Tabla5[[#This Row],[Salario Anual]]/12</calculatedColumnFormula>
    </tableColumn>
    <tableColumn id="14" xr3:uid="{6788642B-AB34-4F52-A93C-C92A260E6E68}" name="IPD" dataDxfId="10">
      <calculatedColumnFormula>Tabla5[[#This Row],[BASE SALARIAL MENSUAL IPD]]*Tabla5[[#This Row],[Bases IPD]]</calculatedColumnFormula>
    </tableColumn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6E03C38-9C4E-4C1D-B519-576CABDE7BBA}" name="Tabla6" displayName="Tabla6" ref="A16:N25" totalsRowShown="0" headerRowDxfId="6" tableBorderDxfId="9">
  <autoFilter ref="A16:N25" xr:uid="{16E03C38-9C4E-4C1D-B519-576CABDE7BBA}"/>
  <tableColumns count="14">
    <tableColumn id="1" xr3:uid="{0C7F38E6-208E-46A4-9947-247FA0B27FF5}" name="Nombre"/>
    <tableColumn id="2" xr3:uid="{2EDB78E6-1F65-4D4B-BEE4-8D9529DE07FE}" name="Tipo de Contrato"/>
    <tableColumn id="3" xr3:uid="{14D53DFB-EE89-4E21-916B-86C41925646C}" name="Ingreso"/>
    <tableColumn id="4" xr3:uid="{E227AD98-3760-4E2B-BDCA-1550EF16294E}" name="Despido" dataDxfId="8"/>
    <tableColumn id="5" xr3:uid="{4E2357EF-81D7-4D81-83DE-1943BDF0B167}" name="Dias trabajados" dataDxfId="7"/>
    <tableColumn id="6" xr3:uid="{A29FB9F3-5F3D-46D7-B0B9-94820275EFDD}" name="Bases IPD "/>
    <tableColumn id="7" xr3:uid="{EA9B0753-4F68-4A6E-BFC7-36EE4101CE92}" name="Bases IPD Mixto"/>
    <tableColumn id="8" xr3:uid="{A8835203-906B-469A-AD48-34D039DE4987}" name="Aguinaldo" dataDxfId="5">
      <calculatedColumnFormula>B19*22</calculatedColumnFormula>
    </tableColumn>
    <tableColumn id="9" xr3:uid="{4A6A10CC-60EA-43E4-A8BB-C3D7584776C8}" name="Alimentacion"/>
    <tableColumn id="10" xr3:uid="{40EFD9A6-D143-4069-BC37-6A31AC254B9D}" name="Presentismo"/>
    <tableColumn id="11" xr3:uid="{95ED7721-86D5-45EC-AA98-E5D6DF01A1F9}" name="Licencia 2020" dataDxfId="4">
      <calculatedColumnFormula>20*B19</calculatedColumnFormula>
    </tableColumn>
    <tableColumn id="12" xr3:uid="{034362DC-4072-45B6-97D6-61CDB663351E}" name="Salario Anual" dataDxfId="2">
      <calculatedColumnFormula>B19*E18+Tabla6[[#This Row],[Aguinaldo]]+Tabla6[[#This Row],[Alimentacion]]*12+Tabla6[[#This Row],[Presentismo]]*5+Tabla6[[#This Row],[Licencia 2020]]</calculatedColumnFormula>
    </tableColumn>
    <tableColumn id="13" xr3:uid="{21B3D536-ECF3-4261-82DC-5269DDB3FEDE}" name="JORNAL BASE IPD" dataDxfId="1">
      <calculatedColumnFormula>Tabla6[[#This Row],[Salario Anual]]/E18</calculatedColumnFormula>
    </tableColumn>
    <tableColumn id="14" xr3:uid="{0980FA8F-97D1-48E7-AD83-7393319FB147}" name="IPD" dataDxfId="0">
      <calculatedColumnFormula>Tabla6[[#This Row],[Bases IPD ]]*Tabla6[[#This Row],[JORNAL BASE IPD]]</calculatedColumnFormula>
    </tableColumn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7C0BB0C-349E-43BE-924A-AF2414E02EC9}" name="Tabla1" displayName="Tabla1" ref="A7:H15" totalsRowShown="0">
  <autoFilter ref="A7:H15" xr:uid="{C7C0BB0C-349E-43BE-924A-AF2414E02EC9}"/>
  <tableColumns count="8">
    <tableColumn id="1" xr3:uid="{F4931E47-7C7C-4E4E-B46C-1D45EF18664B}" name="Concepto"/>
    <tableColumn id="2" xr3:uid="{80C8B8E2-A083-4216-822F-399E6FFB21C4}" name="Diciembre"/>
    <tableColumn id="3" xr3:uid="{DA8A4139-461B-48D6-B413-6CF43F21C835}" name="Enero"/>
    <tableColumn id="4" xr3:uid="{D6501927-8BA4-41B4-AC4C-5DE9B7E0B28A}" name="Febrero"/>
    <tableColumn id="5" xr3:uid="{8B15EAFE-2A08-4000-B30F-8EE674EC12EA}" name="Marzo"/>
    <tableColumn id="6" xr3:uid="{0C421486-325E-4899-917C-875665483843}" name="Abril"/>
    <tableColumn id="7" xr3:uid="{43B48153-2219-4099-B7F3-B3CC2A4A2E88}" name="Mayo"/>
    <tableColumn id="8" xr3:uid="{21AC7E2E-DDAC-44EF-804A-347F06F535D0}" name="Total"/>
  </tableColumns>
  <tableStyleInfo name="TableStyleLight10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E278742-357C-49C3-8A80-813B088005C4}" name="Tabla13" displayName="Tabla13" ref="A19:H28" totalsRowShown="0">
  <autoFilter ref="A19:H28" xr:uid="{6E278742-357C-49C3-8A80-813B088005C4}"/>
  <tableColumns count="8">
    <tableColumn id="1" xr3:uid="{72C02187-0E99-4D41-9295-CCCC099861B2}" name="Concepto"/>
    <tableColumn id="2" xr3:uid="{DC867226-2DD9-44F5-9BDA-2E78E98C561F}" name="Juni"/>
    <tableColumn id="3" xr3:uid="{7A047895-53BA-47F5-9B31-A38F9BB5436B}" name="Julio" dataDxfId="24">
      <calculatedColumnFormula>+Tabla13[[#This Row],[Juni]]*1.1</calculatedColumnFormula>
    </tableColumn>
    <tableColumn id="4" xr3:uid="{BEA12775-7FCB-48A4-95DA-B6CED21C376E}" name="Agosto"/>
    <tableColumn id="5" xr3:uid="{F5D09D8A-E475-415E-9BF7-6B4BFB61EC3A}" name="Setiembre"/>
    <tableColumn id="6" xr3:uid="{A1C26805-48E6-469E-81BE-F1FC1046FA7C}" name="Octubre"/>
    <tableColumn id="7" xr3:uid="{C396DACD-921B-42BA-9406-25BF84C845D8}" name="Noviembre"/>
    <tableColumn id="8" xr3:uid="{DAC4D9E4-6FFD-466A-83C5-449FA9BF38E5}" name="Total" dataDxfId="23">
      <calculatedColumnFormula>SUM(Tabla13[[#This Row],[Juni]:[Noviembre]])</calculatedColumnFormula>
    </tableColumn>
  </tableColumns>
  <tableStyleInfo name="TableStyleLight1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62D5F99-C51E-4A39-BF7E-962DC2C9B736}" name="Tabla3" displayName="Tabla3" ref="A43:J53" totalsRowShown="0" headerRowDxfId="22">
  <autoFilter ref="A43:J53" xr:uid="{262D5F99-C51E-4A39-BF7E-962DC2C9B736}"/>
  <tableColumns count="10">
    <tableColumn id="1" xr3:uid="{7E2EB44C-1583-4E54-A29F-A8EADA997EFE}" name="Concepto" dataDxfId="21"/>
    <tableColumn id="2" xr3:uid="{D5DE8005-D903-4880-8FB1-308156DCF290}" name="Apr"/>
    <tableColumn id="3" xr3:uid="{5CBF7E6E-B621-431B-B583-7E7247299E92}" name="May"/>
    <tableColumn id="4" xr3:uid="{A8E69B1C-8F35-4BA5-8956-FCBF6372A140}" name="Jun"/>
    <tableColumn id="5" xr3:uid="{63CD4817-0D35-41F5-9642-E09987DA2274}" name="Jul"/>
    <tableColumn id="6" xr3:uid="{86307004-18B0-4542-A88C-6AA10CF2FCF2}" name="Ago"/>
    <tableColumn id="7" xr3:uid="{D8A07FFC-FD82-43FB-A7CB-1DF599A3C215}" name="set"/>
    <tableColumn id="8" xr3:uid="{4D308067-AF79-4404-96D0-3643A9BB5A27}" name="Oct"/>
    <tableColumn id="9" xr3:uid="{1318CAF9-AE75-4599-980E-675A00430B62}" name="Nov" dataDxfId="20"/>
    <tableColumn id="10" xr3:uid="{65670BCB-058C-4359-8EFC-24CE87A3BCFE}" name="Dic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998"/>
  <sheetViews>
    <sheetView topLeftCell="A48" zoomScale="174" zoomScaleNormal="174" workbookViewId="0">
      <selection activeCell="I59" sqref="I59"/>
    </sheetView>
  </sheetViews>
  <sheetFormatPr baseColWidth="10" defaultColWidth="14.44140625" defaultRowHeight="15" customHeight="1"/>
  <cols>
    <col min="1" max="1" width="16.6640625" customWidth="1"/>
    <col min="2" max="4" width="13" customWidth="1"/>
    <col min="5" max="5" width="21.6640625" customWidth="1"/>
    <col min="6" max="6" width="21.21875" customWidth="1"/>
    <col min="7" max="7" width="13" customWidth="1"/>
    <col min="8" max="8" width="17.109375" customWidth="1"/>
    <col min="9" max="9" width="9.109375" customWidth="1"/>
    <col min="10" max="10" width="16" customWidth="1"/>
    <col min="11" max="12" width="10.6640625" customWidth="1"/>
    <col min="13" max="26" width="17.33203125" customWidth="1"/>
  </cols>
  <sheetData>
    <row r="1" spans="1:13" ht="23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3" ht="14.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4.4">
      <c r="A3" s="2"/>
      <c r="B3" s="2"/>
      <c r="C3" s="2"/>
      <c r="D3" s="2"/>
      <c r="E3" s="2"/>
      <c r="F3" s="2"/>
      <c r="G3" s="2"/>
      <c r="H3" s="2"/>
      <c r="I3" s="2"/>
      <c r="J3" s="2"/>
    </row>
    <row r="4" spans="1:13" ht="55.5" customHeight="1">
      <c r="A4" s="3" t="s">
        <v>2</v>
      </c>
      <c r="B4" s="3" t="s">
        <v>1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</row>
    <row r="5" spans="1:13" ht="14.4">
      <c r="A5" s="150" t="s">
        <v>13</v>
      </c>
      <c r="B5" s="150" t="s">
        <v>14</v>
      </c>
      <c r="C5" s="154" t="s">
        <v>15</v>
      </c>
      <c r="D5" s="155">
        <v>42350</v>
      </c>
      <c r="E5" s="150" t="s">
        <v>16</v>
      </c>
      <c r="F5" s="150" t="s">
        <v>17</v>
      </c>
      <c r="G5" s="150" t="s">
        <v>18</v>
      </c>
      <c r="H5" s="150">
        <v>0</v>
      </c>
      <c r="I5" s="150"/>
      <c r="J5" s="156">
        <v>142</v>
      </c>
      <c r="K5" s="150"/>
      <c r="L5" s="150"/>
    </row>
    <row r="6" spans="1:13" ht="14.4">
      <c r="A6" s="150" t="s">
        <v>19</v>
      </c>
      <c r="B6" s="150" t="s">
        <v>20</v>
      </c>
      <c r="C6" s="154" t="s">
        <v>21</v>
      </c>
      <c r="D6" s="155">
        <v>42381</v>
      </c>
      <c r="E6" s="150" t="s">
        <v>22</v>
      </c>
      <c r="F6" s="150" t="s">
        <v>17</v>
      </c>
      <c r="G6" s="150" t="s">
        <v>23</v>
      </c>
      <c r="H6" s="150">
        <v>1</v>
      </c>
      <c r="I6" s="150" t="s">
        <v>24</v>
      </c>
      <c r="J6" s="156">
        <v>165</v>
      </c>
      <c r="K6" s="150"/>
      <c r="L6" s="150"/>
    </row>
    <row r="7" spans="1:13" ht="14.4">
      <c r="A7" s="150" t="s">
        <v>25</v>
      </c>
      <c r="B7" s="150" t="s">
        <v>26</v>
      </c>
      <c r="C7" s="154" t="s">
        <v>27</v>
      </c>
      <c r="D7" s="155">
        <v>39336</v>
      </c>
      <c r="E7" s="150" t="s">
        <v>28</v>
      </c>
      <c r="F7" s="150" t="s">
        <v>17</v>
      </c>
      <c r="G7" s="150" t="s">
        <v>18</v>
      </c>
      <c r="H7" s="150">
        <v>2</v>
      </c>
      <c r="I7" s="150" t="s">
        <v>29</v>
      </c>
      <c r="J7" s="156">
        <v>295</v>
      </c>
      <c r="K7" s="150"/>
      <c r="L7" s="150"/>
    </row>
    <row r="8" spans="1:13" ht="14.4">
      <c r="A8" s="150" t="s">
        <v>30</v>
      </c>
      <c r="B8" s="150" t="s">
        <v>31</v>
      </c>
      <c r="C8" s="154" t="s">
        <v>32</v>
      </c>
      <c r="D8" s="155">
        <v>40036</v>
      </c>
      <c r="E8" s="150" t="s">
        <v>33</v>
      </c>
      <c r="F8" s="150" t="s">
        <v>34</v>
      </c>
      <c r="G8" s="150" t="s">
        <v>35</v>
      </c>
      <c r="H8" s="150">
        <v>1</v>
      </c>
      <c r="I8" s="150" t="s">
        <v>29</v>
      </c>
      <c r="J8" s="150" t="s">
        <v>36</v>
      </c>
      <c r="K8" s="150">
        <v>32500</v>
      </c>
      <c r="L8" s="150"/>
    </row>
    <row r="9" spans="1:13" ht="14.4">
      <c r="A9" s="151" t="s">
        <v>37</v>
      </c>
      <c r="B9" s="151" t="s">
        <v>38</v>
      </c>
      <c r="C9" s="151" t="s">
        <v>39</v>
      </c>
      <c r="D9" s="157">
        <v>40238</v>
      </c>
      <c r="E9" s="151" t="s">
        <v>40</v>
      </c>
      <c r="F9" s="151" t="s">
        <v>34</v>
      </c>
      <c r="G9" s="151" t="s">
        <v>41</v>
      </c>
      <c r="H9" s="151">
        <v>3</v>
      </c>
      <c r="I9" s="151" t="s">
        <v>24</v>
      </c>
      <c r="J9" s="151"/>
      <c r="K9" s="158">
        <v>78642</v>
      </c>
      <c r="L9" s="158"/>
    </row>
    <row r="10" spans="1:13" ht="14.4">
      <c r="A10" s="151" t="s">
        <v>42</v>
      </c>
      <c r="B10" s="151" t="s">
        <v>43</v>
      </c>
      <c r="C10" s="151" t="s">
        <v>44</v>
      </c>
      <c r="D10" s="252">
        <v>41988</v>
      </c>
      <c r="E10" s="151" t="s">
        <v>45</v>
      </c>
      <c r="F10" s="151" t="s">
        <v>34</v>
      </c>
      <c r="G10" s="151" t="s">
        <v>18</v>
      </c>
      <c r="H10" s="151">
        <v>0</v>
      </c>
      <c r="I10" s="151"/>
      <c r="J10" s="151"/>
      <c r="K10" s="158">
        <v>38512</v>
      </c>
      <c r="L10" s="152">
        <v>10500</v>
      </c>
    </row>
    <row r="11" spans="1:13" thickBot="1">
      <c r="A11" s="248" t="s">
        <v>46</v>
      </c>
      <c r="B11" s="248" t="s">
        <v>47</v>
      </c>
      <c r="C11" s="248" t="s">
        <v>48</v>
      </c>
      <c r="D11" s="249">
        <v>42290</v>
      </c>
      <c r="E11" s="248" t="s">
        <v>49</v>
      </c>
      <c r="F11" s="248" t="s">
        <v>34</v>
      </c>
      <c r="G11" s="248" t="s">
        <v>50</v>
      </c>
      <c r="H11" s="248">
        <v>1</v>
      </c>
      <c r="I11" s="248" t="s">
        <v>29</v>
      </c>
      <c r="J11" s="248"/>
      <c r="K11" s="250">
        <v>26200</v>
      </c>
      <c r="L11" s="251"/>
    </row>
    <row r="12" spans="1:13" thickTop="1">
      <c r="A12" s="244" t="s">
        <v>257</v>
      </c>
      <c r="B12" s="244" t="s">
        <v>256</v>
      </c>
      <c r="C12" s="244" t="s">
        <v>258</v>
      </c>
      <c r="D12" s="245">
        <v>41255</v>
      </c>
      <c r="E12" s="246" t="s">
        <v>284</v>
      </c>
      <c r="F12" s="244" t="s">
        <v>34</v>
      </c>
      <c r="G12" s="244" t="s">
        <v>50</v>
      </c>
      <c r="H12" s="244">
        <v>0</v>
      </c>
      <c r="I12" s="244" t="s">
        <v>29</v>
      </c>
      <c r="J12" s="244"/>
      <c r="K12" s="247">
        <v>155000</v>
      </c>
      <c r="L12" s="304" t="s">
        <v>319</v>
      </c>
      <c r="M12" s="304"/>
    </row>
    <row r="13" spans="1:13" ht="14.4">
      <c r="A13" s="244" t="s">
        <v>259</v>
      </c>
      <c r="B13" s="244" t="s">
        <v>47</v>
      </c>
      <c r="C13" s="244"/>
      <c r="D13" s="245">
        <v>43845</v>
      </c>
      <c r="E13" s="244" t="s">
        <v>262</v>
      </c>
      <c r="F13" s="244" t="s">
        <v>17</v>
      </c>
      <c r="G13" s="244" t="s">
        <v>23</v>
      </c>
      <c r="H13" s="244">
        <v>2</v>
      </c>
      <c r="I13" s="244" t="s">
        <v>29</v>
      </c>
      <c r="J13" s="244">
        <v>158</v>
      </c>
      <c r="K13" s="247"/>
      <c r="L13" s="304"/>
      <c r="M13" s="304"/>
    </row>
    <row r="14" spans="1:13" ht="14.4">
      <c r="A14" s="244" t="s">
        <v>260</v>
      </c>
      <c r="B14" s="244" t="s">
        <v>261</v>
      </c>
      <c r="C14" s="244"/>
      <c r="D14" s="245">
        <v>38521</v>
      </c>
      <c r="E14" s="246" t="s">
        <v>285</v>
      </c>
      <c r="F14" s="244" t="s">
        <v>34</v>
      </c>
      <c r="G14" s="244" t="s">
        <v>50</v>
      </c>
      <c r="H14" s="244">
        <v>0</v>
      </c>
      <c r="I14" s="244" t="s">
        <v>29</v>
      </c>
      <c r="J14" s="244"/>
      <c r="K14" s="247">
        <v>42538</v>
      </c>
      <c r="L14" s="304"/>
      <c r="M14" s="304"/>
    </row>
    <row r="15" spans="1:13" ht="14.4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3" ht="14.4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ht="14.4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14.4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ht="21" customHeight="1">
      <c r="A19" s="6" t="s">
        <v>240</v>
      </c>
      <c r="B19" s="2"/>
      <c r="C19" s="2"/>
      <c r="D19" s="2"/>
      <c r="E19" s="2"/>
      <c r="F19" s="2"/>
      <c r="G19" s="2"/>
      <c r="H19" s="2"/>
      <c r="I19" s="2"/>
      <c r="J19" s="2"/>
    </row>
    <row r="20" spans="1:10" ht="14.4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30" customHeight="1">
      <c r="A21" s="7" t="s">
        <v>1</v>
      </c>
      <c r="B21" s="7" t="s">
        <v>2</v>
      </c>
      <c r="C21" s="169" t="s">
        <v>84</v>
      </c>
      <c r="D21" s="7" t="s">
        <v>51</v>
      </c>
      <c r="E21" s="7" t="s">
        <v>52</v>
      </c>
      <c r="F21" s="3" t="s">
        <v>53</v>
      </c>
      <c r="G21" s="3" t="s">
        <v>54</v>
      </c>
      <c r="H21" s="3" t="s">
        <v>55</v>
      </c>
      <c r="I21" s="2"/>
      <c r="J21" s="2"/>
    </row>
    <row r="22" spans="1:10" ht="14.4">
      <c r="A22" s="150" t="s">
        <v>13</v>
      </c>
      <c r="B22" s="150" t="s">
        <v>14</v>
      </c>
      <c r="C22" s="159">
        <v>160</v>
      </c>
      <c r="D22" s="160"/>
      <c r="E22" s="160">
        <v>2</v>
      </c>
      <c r="F22" s="155">
        <v>44478</v>
      </c>
      <c r="G22" s="155">
        <v>44483</v>
      </c>
      <c r="H22" s="150"/>
      <c r="I22" s="151"/>
      <c r="J22" s="2"/>
    </row>
    <row r="23" spans="1:10" ht="14.4">
      <c r="A23" s="150" t="s">
        <v>19</v>
      </c>
      <c r="B23" s="150" t="s">
        <v>20</v>
      </c>
      <c r="C23" s="159">
        <v>194</v>
      </c>
      <c r="D23" s="160">
        <v>4</v>
      </c>
      <c r="E23" s="160"/>
      <c r="F23" s="150"/>
      <c r="G23" s="150"/>
      <c r="H23" s="150"/>
      <c r="I23" s="151"/>
      <c r="J23" s="2"/>
    </row>
    <row r="24" spans="1:10" ht="14.4">
      <c r="A24" s="150" t="s">
        <v>25</v>
      </c>
      <c r="B24" s="150" t="s">
        <v>26</v>
      </c>
      <c r="C24" s="159">
        <v>80</v>
      </c>
      <c r="D24" s="160"/>
      <c r="E24" s="160"/>
      <c r="F24" s="168">
        <v>44478</v>
      </c>
      <c r="G24" s="167" t="s">
        <v>253</v>
      </c>
      <c r="H24" s="150"/>
      <c r="I24" s="151"/>
      <c r="J24" s="2"/>
    </row>
    <row r="25" spans="1:10" ht="15.75" customHeight="1">
      <c r="A25" s="150" t="s">
        <v>30</v>
      </c>
      <c r="B25" s="150" t="s">
        <v>31</v>
      </c>
      <c r="C25" s="161"/>
      <c r="D25" s="160"/>
      <c r="E25" s="160">
        <v>1</v>
      </c>
      <c r="F25" s="150"/>
      <c r="G25" s="150"/>
      <c r="H25" s="150"/>
      <c r="I25" s="151"/>
      <c r="J25" s="2"/>
    </row>
    <row r="26" spans="1:10" ht="15.75" customHeight="1">
      <c r="A26" s="151" t="s">
        <v>37</v>
      </c>
      <c r="B26" s="151" t="s">
        <v>38</v>
      </c>
      <c r="C26" s="151"/>
      <c r="D26" s="151">
        <v>6</v>
      </c>
      <c r="E26" s="151"/>
      <c r="F26" s="151"/>
      <c r="G26" s="151"/>
      <c r="H26" s="151"/>
      <c r="I26" s="151"/>
      <c r="J26" s="2"/>
    </row>
    <row r="27" spans="1:10" ht="15.75" customHeight="1">
      <c r="A27" s="151" t="s">
        <v>42</v>
      </c>
      <c r="B27" s="151" t="s">
        <v>43</v>
      </c>
      <c r="C27" s="151"/>
      <c r="D27" s="151"/>
      <c r="E27" s="151">
        <v>3</v>
      </c>
      <c r="F27" s="151"/>
      <c r="G27" s="151"/>
      <c r="H27" s="151"/>
      <c r="I27" s="151"/>
      <c r="J27" s="2"/>
    </row>
    <row r="28" spans="1:10" ht="15.75" customHeight="1">
      <c r="A28" s="2" t="s">
        <v>46</v>
      </c>
      <c r="B28" s="2" t="s">
        <v>47</v>
      </c>
      <c r="C28" s="2"/>
      <c r="D28" s="2"/>
      <c r="E28" s="2">
        <v>2</v>
      </c>
      <c r="F28" s="2"/>
      <c r="G28" s="2"/>
      <c r="H28" s="2"/>
      <c r="I28" s="2"/>
      <c r="J28" s="2"/>
    </row>
    <row r="29" spans="1:10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ht="15.75" customHeight="1">
      <c r="A31" s="2" t="s">
        <v>56</v>
      </c>
      <c r="B31" s="2"/>
      <c r="C31" s="2"/>
      <c r="D31" s="2"/>
      <c r="E31" s="2"/>
      <c r="F31" s="2"/>
      <c r="G31" s="2"/>
      <c r="H31" s="2"/>
      <c r="I31" s="2"/>
      <c r="J31" s="2"/>
    </row>
    <row r="32" spans="1:10" ht="15.75" customHeight="1">
      <c r="A32" s="2" t="s">
        <v>57</v>
      </c>
      <c r="B32" s="2"/>
      <c r="C32" s="2"/>
      <c r="D32" s="2"/>
      <c r="E32" s="2"/>
      <c r="F32" s="2"/>
      <c r="G32" s="2"/>
      <c r="H32" s="2"/>
      <c r="I32" s="2"/>
      <c r="J32" s="2"/>
    </row>
    <row r="33" spans="1:12" ht="15.75" customHeight="1" thickBot="1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2" ht="15.75" customHeight="1">
      <c r="A34" s="265" t="s">
        <v>320</v>
      </c>
      <c r="B34" s="180"/>
      <c r="C34" s="180"/>
      <c r="D34" s="180"/>
      <c r="E34" s="180"/>
      <c r="F34" s="253"/>
      <c r="G34" s="2"/>
      <c r="H34" s="2"/>
      <c r="I34" s="2"/>
      <c r="J34" s="2"/>
    </row>
    <row r="35" spans="1:12" ht="15.75" customHeight="1">
      <c r="A35" s="172" t="s">
        <v>242</v>
      </c>
      <c r="B35" s="183" t="s">
        <v>243</v>
      </c>
      <c r="C35" s="183"/>
      <c r="D35" s="183"/>
      <c r="E35" s="183"/>
      <c r="F35" s="216"/>
      <c r="G35" s="2"/>
      <c r="H35" s="2"/>
      <c r="I35" s="2"/>
      <c r="J35" s="2"/>
    </row>
    <row r="36" spans="1:12" ht="15.75" customHeight="1">
      <c r="A36" s="254" t="s">
        <v>1</v>
      </c>
      <c r="B36" s="7" t="s">
        <v>2</v>
      </c>
      <c r="C36" s="7" t="s">
        <v>241</v>
      </c>
      <c r="D36" s="7" t="s">
        <v>246</v>
      </c>
      <c r="E36" s="7" t="s">
        <v>76</v>
      </c>
      <c r="F36" s="255" t="s">
        <v>247</v>
      </c>
      <c r="G36" s="149"/>
      <c r="H36" s="149"/>
      <c r="I36" s="2"/>
      <c r="J36" s="2"/>
    </row>
    <row r="37" spans="1:12" ht="15.75" customHeight="1">
      <c r="A37" s="256" t="s">
        <v>19</v>
      </c>
      <c r="B37" s="150" t="s">
        <v>20</v>
      </c>
      <c r="C37" s="159">
        <v>24</v>
      </c>
      <c r="D37" s="160">
        <f>J6*8</f>
        <v>1320</v>
      </c>
      <c r="E37" s="160"/>
      <c r="F37" s="257">
        <f>C37*D37</f>
        <v>31680</v>
      </c>
      <c r="G37" s="150"/>
      <c r="H37" s="150"/>
      <c r="I37" s="2"/>
      <c r="J37" s="2"/>
    </row>
    <row r="38" spans="1:12" ht="15.75" customHeight="1">
      <c r="A38" s="256" t="s">
        <v>37</v>
      </c>
      <c r="B38" s="150" t="s">
        <v>38</v>
      </c>
      <c r="C38" s="150">
        <v>24</v>
      </c>
      <c r="D38" s="150"/>
      <c r="E38" s="150">
        <f>K9</f>
        <v>78642</v>
      </c>
      <c r="F38" s="258">
        <f>E38</f>
        <v>78642</v>
      </c>
      <c r="G38" s="151"/>
      <c r="H38" s="151"/>
    </row>
    <row r="39" spans="1:12" ht="15.75" customHeight="1">
      <c r="A39" s="259"/>
      <c r="B39" s="208"/>
      <c r="C39" s="208"/>
      <c r="D39" s="208"/>
      <c r="E39" s="208"/>
      <c r="F39" s="260"/>
      <c r="G39" s="152"/>
      <c r="H39" s="152"/>
    </row>
    <row r="40" spans="1:12" ht="15.75" customHeight="1">
      <c r="A40" s="259" t="s">
        <v>244</v>
      </c>
      <c r="B40" s="208" t="s">
        <v>245</v>
      </c>
      <c r="C40" s="208"/>
      <c r="D40" s="208"/>
      <c r="E40" s="208"/>
      <c r="F40" s="260"/>
      <c r="G40" s="152"/>
      <c r="H40" s="152"/>
    </row>
    <row r="41" spans="1:12" ht="15.75" customHeight="1">
      <c r="A41" s="254" t="s">
        <v>1</v>
      </c>
      <c r="B41" s="7" t="s">
        <v>2</v>
      </c>
      <c r="C41" s="7" t="s">
        <v>241</v>
      </c>
      <c r="D41" s="7" t="s">
        <v>246</v>
      </c>
      <c r="E41" s="7" t="s">
        <v>76</v>
      </c>
      <c r="F41" s="261" t="s">
        <v>248</v>
      </c>
      <c r="G41" s="149"/>
      <c r="H41" s="149"/>
    </row>
    <row r="42" spans="1:12" ht="15.75" customHeight="1">
      <c r="A42" s="256" t="s">
        <v>19</v>
      </c>
      <c r="B42" s="150" t="s">
        <v>20</v>
      </c>
      <c r="C42" s="159">
        <v>27</v>
      </c>
      <c r="D42" s="160">
        <f>D37</f>
        <v>1320</v>
      </c>
      <c r="E42" s="160"/>
      <c r="F42" s="257">
        <f>C42*D42</f>
        <v>35640</v>
      </c>
      <c r="G42" s="150"/>
      <c r="H42" s="150"/>
    </row>
    <row r="43" spans="1:12" ht="15.75" customHeight="1" thickBot="1">
      <c r="A43" s="262" t="s">
        <v>37</v>
      </c>
      <c r="B43" s="263" t="s">
        <v>38</v>
      </c>
      <c r="C43" s="263">
        <v>27</v>
      </c>
      <c r="D43" s="263"/>
      <c r="E43" s="263">
        <f>E38</f>
        <v>78642</v>
      </c>
      <c r="F43" s="264">
        <f>E43</f>
        <v>78642</v>
      </c>
      <c r="G43" s="151"/>
      <c r="H43" s="151"/>
    </row>
    <row r="44" spans="1:12" ht="15.75" customHeight="1"/>
    <row r="45" spans="1:12" ht="15.75" customHeight="1"/>
    <row r="46" spans="1:12" ht="15.75" customHeight="1">
      <c r="A46" s="226" t="s">
        <v>361</v>
      </c>
    </row>
    <row r="47" spans="1:12" ht="15.75" customHeight="1"/>
    <row r="48" spans="1:12" ht="15.75" customHeight="1">
      <c r="A48" s="3" t="s">
        <v>2</v>
      </c>
      <c r="B48" s="3" t="s">
        <v>1</v>
      </c>
      <c r="C48" s="3" t="s">
        <v>3</v>
      </c>
      <c r="D48" s="238" t="s">
        <v>351</v>
      </c>
      <c r="E48" s="3" t="s">
        <v>5</v>
      </c>
      <c r="F48" s="3" t="s">
        <v>6</v>
      </c>
      <c r="G48" s="3" t="s">
        <v>7</v>
      </c>
      <c r="H48" s="3" t="s">
        <v>8</v>
      </c>
      <c r="I48" s="3" t="s">
        <v>9</v>
      </c>
      <c r="J48" s="3" t="s">
        <v>10</v>
      </c>
      <c r="K48" s="3" t="s">
        <v>11</v>
      </c>
      <c r="L48" s="3" t="s">
        <v>12</v>
      </c>
    </row>
    <row r="49" spans="1:12" ht="15.75" customHeight="1">
      <c r="A49" s="150" t="s">
        <v>13</v>
      </c>
      <c r="B49" s="150" t="s">
        <v>14</v>
      </c>
      <c r="C49" s="154" t="s">
        <v>15</v>
      </c>
      <c r="D49" s="155">
        <v>42350</v>
      </c>
      <c r="E49" s="150" t="s">
        <v>16</v>
      </c>
      <c r="F49" s="150" t="s">
        <v>17</v>
      </c>
      <c r="G49" s="150" t="s">
        <v>18</v>
      </c>
      <c r="H49" s="150">
        <v>0</v>
      </c>
      <c r="I49" s="150"/>
      <c r="J49" s="156">
        <v>142</v>
      </c>
      <c r="K49" s="150"/>
      <c r="L49" s="150"/>
    </row>
    <row r="50" spans="1:12" ht="15.75" customHeight="1">
      <c r="A50" s="150" t="s">
        <v>19</v>
      </c>
      <c r="B50" s="150" t="s">
        <v>20</v>
      </c>
      <c r="C50" s="154" t="s">
        <v>21</v>
      </c>
      <c r="D50" s="155">
        <v>42381</v>
      </c>
      <c r="E50" s="150" t="s">
        <v>22</v>
      </c>
      <c r="F50" s="150" t="s">
        <v>17</v>
      </c>
      <c r="G50" s="150" t="s">
        <v>23</v>
      </c>
      <c r="H50" s="150">
        <v>1</v>
      </c>
      <c r="I50" s="150" t="s">
        <v>24</v>
      </c>
      <c r="J50" s="156">
        <v>165</v>
      </c>
      <c r="K50" s="150"/>
      <c r="L50" s="150"/>
    </row>
    <row r="51" spans="1:12" ht="15.75" customHeight="1">
      <c r="A51" s="150" t="s">
        <v>25</v>
      </c>
      <c r="B51" s="150" t="s">
        <v>26</v>
      </c>
      <c r="C51" s="154" t="s">
        <v>27</v>
      </c>
      <c r="D51" s="155">
        <v>39336</v>
      </c>
      <c r="E51" s="150" t="s">
        <v>28</v>
      </c>
      <c r="F51" s="150" t="s">
        <v>17</v>
      </c>
      <c r="G51" s="150" t="s">
        <v>18</v>
      </c>
      <c r="H51" s="150">
        <v>2</v>
      </c>
      <c r="I51" s="150" t="s">
        <v>29</v>
      </c>
      <c r="J51" s="156">
        <v>295</v>
      </c>
      <c r="K51" s="150"/>
      <c r="L51" s="150"/>
    </row>
    <row r="52" spans="1:12" ht="15.75" customHeight="1">
      <c r="A52" s="150" t="s">
        <v>30</v>
      </c>
      <c r="B52" s="150" t="s">
        <v>31</v>
      </c>
      <c r="C52" s="154" t="s">
        <v>32</v>
      </c>
      <c r="D52" s="155">
        <v>40036</v>
      </c>
      <c r="E52" s="150" t="s">
        <v>33</v>
      </c>
      <c r="F52" s="150" t="s">
        <v>34</v>
      </c>
      <c r="G52" s="150" t="s">
        <v>35</v>
      </c>
      <c r="H52" s="150">
        <v>1</v>
      </c>
      <c r="I52" s="150" t="s">
        <v>29</v>
      </c>
      <c r="J52" s="150" t="s">
        <v>36</v>
      </c>
      <c r="K52" s="150">
        <v>32500</v>
      </c>
      <c r="L52" s="150"/>
    </row>
    <row r="53" spans="1:12" ht="15.75" customHeight="1"/>
    <row r="54" spans="1:12" ht="15.75" customHeight="1">
      <c r="C54" s="154" t="s">
        <v>363</v>
      </c>
    </row>
    <row r="55" spans="1:12" ht="15.75" customHeight="1">
      <c r="A55" s="3" t="s">
        <v>1</v>
      </c>
      <c r="B55" s="238" t="s">
        <v>351</v>
      </c>
      <c r="C55" s="3">
        <v>2015</v>
      </c>
      <c r="D55" s="3">
        <v>2016</v>
      </c>
      <c r="E55" s="3">
        <v>2017</v>
      </c>
      <c r="F55" s="3">
        <v>2018</v>
      </c>
      <c r="G55" s="3">
        <v>2019</v>
      </c>
      <c r="H55" s="3">
        <v>2020</v>
      </c>
      <c r="I55" s="3">
        <v>2021</v>
      </c>
      <c r="J55" s="238" t="s">
        <v>362</v>
      </c>
    </row>
    <row r="56" spans="1:12" ht="15.75" customHeight="1">
      <c r="A56" s="150" t="s">
        <v>14</v>
      </c>
      <c r="B56" s="155">
        <v>42350</v>
      </c>
      <c r="C56" s="150">
        <v>190</v>
      </c>
      <c r="D56" s="150">
        <v>240</v>
      </c>
      <c r="E56" s="150">
        <v>248</v>
      </c>
      <c r="F56" s="150">
        <v>259</v>
      </c>
      <c r="G56" s="150">
        <v>198</v>
      </c>
      <c r="H56" s="156">
        <v>201</v>
      </c>
      <c r="I56" s="150">
        <v>230</v>
      </c>
      <c r="J56" s="155">
        <v>44542</v>
      </c>
      <c r="K56" s="221" t="s">
        <v>364</v>
      </c>
    </row>
    <row r="57" spans="1:12" ht="15.75" customHeight="1">
      <c r="A57" s="150" t="s">
        <v>20</v>
      </c>
      <c r="B57" s="155">
        <v>42381</v>
      </c>
      <c r="C57" s="167" t="s">
        <v>36</v>
      </c>
      <c r="D57" s="167" t="s">
        <v>36</v>
      </c>
      <c r="E57" s="167" t="s">
        <v>36</v>
      </c>
      <c r="F57" s="167" t="s">
        <v>36</v>
      </c>
      <c r="G57" s="167" t="s">
        <v>36</v>
      </c>
      <c r="H57" s="315" t="s">
        <v>36</v>
      </c>
      <c r="I57" s="150">
        <v>248</v>
      </c>
      <c r="J57" s="150"/>
      <c r="K57" s="278" t="s">
        <v>366</v>
      </c>
    </row>
    <row r="58" spans="1:12" ht="15.75" customHeight="1">
      <c r="A58" s="150" t="s">
        <v>26</v>
      </c>
      <c r="B58" s="155">
        <v>39336</v>
      </c>
      <c r="C58" s="150"/>
      <c r="D58" s="150"/>
      <c r="E58" s="150"/>
      <c r="F58" s="150"/>
      <c r="G58" s="150"/>
      <c r="H58" s="156"/>
      <c r="I58" s="150">
        <v>180</v>
      </c>
      <c r="J58" s="150"/>
      <c r="K58" s="221" t="s">
        <v>366</v>
      </c>
    </row>
    <row r="59" spans="1:12" ht="15.75" customHeight="1">
      <c r="A59" s="150" t="s">
        <v>31</v>
      </c>
      <c r="B59" s="155">
        <v>40036</v>
      </c>
      <c r="C59" s="167">
        <v>360</v>
      </c>
      <c r="D59" s="150">
        <v>270</v>
      </c>
      <c r="E59" s="150">
        <v>240</v>
      </c>
      <c r="F59" s="150">
        <v>360</v>
      </c>
      <c r="G59" s="150">
        <v>360</v>
      </c>
      <c r="H59" s="150">
        <v>360</v>
      </c>
      <c r="I59" s="150">
        <v>342</v>
      </c>
      <c r="J59" s="155">
        <v>44542</v>
      </c>
      <c r="K59" s="221" t="s">
        <v>365</v>
      </c>
    </row>
    <row r="60" spans="1:12" ht="15.75" customHeight="1"/>
    <row r="61" spans="1:12" ht="15.75" customHeight="1"/>
    <row r="62" spans="1:12" ht="15.75" customHeight="1"/>
    <row r="63" spans="1:12" ht="15.75" customHeight="1"/>
    <row r="64" spans="1:1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1">
    <mergeCell ref="L12:M14"/>
  </mergeCells>
  <pageMargins left="0.7" right="0.7" top="0.75" bottom="0.75" header="0" footer="0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379EB-4A3B-48DA-851A-64409FC4AC5C}">
  <dimension ref="A1:O14"/>
  <sheetViews>
    <sheetView zoomScale="155" zoomScaleNormal="155" workbookViewId="0">
      <selection activeCell="B6" sqref="B6"/>
    </sheetView>
  </sheetViews>
  <sheetFormatPr baseColWidth="10" defaultRowHeight="14.4"/>
  <cols>
    <col min="1" max="1" width="12.109375" customWidth="1"/>
    <col min="2" max="2" width="16.33203125" customWidth="1"/>
  </cols>
  <sheetData>
    <row r="1" spans="1:15" ht="21">
      <c r="A1" s="298" t="s">
        <v>338</v>
      </c>
    </row>
    <row r="3" spans="1:15" ht="43.2">
      <c r="A3" s="301" t="s">
        <v>340</v>
      </c>
      <c r="E3" s="300" t="s">
        <v>344</v>
      </c>
    </row>
    <row r="4" spans="1:15">
      <c r="A4" s="299" t="s">
        <v>339</v>
      </c>
      <c r="B4" s="221" t="s">
        <v>246</v>
      </c>
      <c r="C4" s="221" t="s">
        <v>76</v>
      </c>
      <c r="D4" s="221" t="s">
        <v>271</v>
      </c>
      <c r="E4" s="221" t="s">
        <v>341</v>
      </c>
      <c r="F4" s="221" t="s">
        <v>342</v>
      </c>
      <c r="G4" s="221" t="s">
        <v>343</v>
      </c>
      <c r="H4" s="221" t="s">
        <v>308</v>
      </c>
      <c r="I4" s="221" t="s">
        <v>310</v>
      </c>
      <c r="J4" s="221" t="s">
        <v>311</v>
      </c>
      <c r="K4" s="221" t="s">
        <v>312</v>
      </c>
      <c r="L4" s="221" t="s">
        <v>313</v>
      </c>
      <c r="M4" s="221" t="s">
        <v>314</v>
      </c>
      <c r="N4" s="221" t="s">
        <v>315</v>
      </c>
      <c r="O4" s="221" t="s">
        <v>316</v>
      </c>
    </row>
    <row r="5" spans="1:15">
      <c r="A5" s="221" t="s">
        <v>117</v>
      </c>
      <c r="C5">
        <v>45000</v>
      </c>
      <c r="D5">
        <v>45000</v>
      </c>
      <c r="E5">
        <f t="shared" ref="E5:E6" si="0">45000+D12</f>
        <v>69000</v>
      </c>
      <c r="F5">
        <v>45000</v>
      </c>
      <c r="G5">
        <v>45000</v>
      </c>
      <c r="H5">
        <v>45000</v>
      </c>
      <c r="I5">
        <v>45000</v>
      </c>
      <c r="J5">
        <v>45000</v>
      </c>
      <c r="K5">
        <v>45000</v>
      </c>
      <c r="L5">
        <v>45000</v>
      </c>
      <c r="M5">
        <v>45000</v>
      </c>
      <c r="N5">
        <v>45000</v>
      </c>
      <c r="O5">
        <v>45000</v>
      </c>
    </row>
    <row r="6" spans="1:15">
      <c r="A6" s="221" t="s">
        <v>95</v>
      </c>
      <c r="B6">
        <v>1800</v>
      </c>
      <c r="D6">
        <f>B6*25+D8+D9</f>
        <v>109800</v>
      </c>
      <c r="E6">
        <f t="shared" si="0"/>
        <v>45000</v>
      </c>
      <c r="F6">
        <v>37500</v>
      </c>
      <c r="G6">
        <v>37500</v>
      </c>
      <c r="H6">
        <v>37500</v>
      </c>
      <c r="I6">
        <v>37500</v>
      </c>
      <c r="J6">
        <v>37500</v>
      </c>
      <c r="K6">
        <v>37500</v>
      </c>
      <c r="L6">
        <v>37500</v>
      </c>
      <c r="M6">
        <v>37500</v>
      </c>
      <c r="N6">
        <v>37500</v>
      </c>
      <c r="O6">
        <v>37500</v>
      </c>
    </row>
    <row r="8" spans="1:15">
      <c r="A8" t="s">
        <v>367</v>
      </c>
      <c r="B8" s="316" t="s">
        <v>345</v>
      </c>
      <c r="C8" s="317"/>
      <c r="D8" s="317">
        <f>B6*20</f>
        <v>36000</v>
      </c>
    </row>
    <row r="9" spans="1:15">
      <c r="B9" s="316" t="s">
        <v>346</v>
      </c>
      <c r="C9" s="317"/>
      <c r="D9" s="317">
        <f>+D8*0.8</f>
        <v>28800</v>
      </c>
    </row>
    <row r="11" spans="1:15">
      <c r="A11" t="s">
        <v>369</v>
      </c>
      <c r="B11" s="318" t="s">
        <v>368</v>
      </c>
      <c r="C11" s="318"/>
      <c r="D11" s="318">
        <f>20*C14</f>
        <v>30000</v>
      </c>
    </row>
    <row r="12" spans="1:15">
      <c r="B12" s="318" t="s">
        <v>346</v>
      </c>
      <c r="C12" s="318"/>
      <c r="D12" s="318">
        <f>D11*0.8</f>
        <v>24000</v>
      </c>
    </row>
    <row r="14" spans="1:15">
      <c r="B14" s="318" t="s">
        <v>370</v>
      </c>
      <c r="C14" s="318">
        <f>45000/30</f>
        <v>1500</v>
      </c>
    </row>
  </sheetData>
  <phoneticPr fontId="34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A6B14-4834-4EF6-952D-51BEEF8AA1DA}">
  <dimension ref="A1:N28"/>
  <sheetViews>
    <sheetView tabSelected="1" topLeftCell="D8" zoomScale="136" zoomScaleNormal="136" workbookViewId="0">
      <selection activeCell="F27" sqref="F27"/>
    </sheetView>
  </sheetViews>
  <sheetFormatPr baseColWidth="10" defaultRowHeight="14.4"/>
  <cols>
    <col min="1" max="1" width="18.33203125" customWidth="1"/>
    <col min="2" max="2" width="16.88671875" customWidth="1"/>
    <col min="5" max="5" width="15.6640625" customWidth="1"/>
    <col min="8" max="8" width="12.21875" bestFit="1" customWidth="1"/>
    <col min="10" max="10" width="13.44140625" customWidth="1"/>
    <col min="11" max="11" width="14.21875" customWidth="1"/>
    <col min="12" max="12" width="13.6640625" customWidth="1"/>
    <col min="13" max="13" width="16.88671875" customWidth="1"/>
    <col min="14" max="14" width="13.21875" bestFit="1" customWidth="1"/>
  </cols>
  <sheetData>
    <row r="1" spans="1:14">
      <c r="A1" s="221" t="s">
        <v>347</v>
      </c>
      <c r="B1" s="221"/>
    </row>
    <row r="3" spans="1:14">
      <c r="A3" s="221" t="s">
        <v>348</v>
      </c>
      <c r="B3" s="221"/>
    </row>
    <row r="5" spans="1:14" ht="15.6">
      <c r="A5" s="221" t="s">
        <v>349</v>
      </c>
      <c r="B5" s="221"/>
      <c r="F5" s="314" t="s">
        <v>372</v>
      </c>
      <c r="G5" s="314"/>
    </row>
    <row r="6" spans="1:14" ht="28.8">
      <c r="A6" s="221" t="s">
        <v>2</v>
      </c>
      <c r="B6" s="221" t="s">
        <v>355</v>
      </c>
      <c r="C6" s="221" t="s">
        <v>351</v>
      </c>
      <c r="D6" s="221" t="s">
        <v>352</v>
      </c>
      <c r="E6" s="221" t="s">
        <v>358</v>
      </c>
      <c r="F6" s="221" t="s">
        <v>354</v>
      </c>
      <c r="G6" s="221" t="s">
        <v>353</v>
      </c>
      <c r="H6" s="221" t="s">
        <v>336</v>
      </c>
      <c r="I6" s="221" t="s">
        <v>371</v>
      </c>
      <c r="J6" s="221" t="s">
        <v>268</v>
      </c>
      <c r="K6" s="221" t="s">
        <v>373</v>
      </c>
      <c r="L6" s="221" t="s">
        <v>374</v>
      </c>
      <c r="M6" s="319" t="s">
        <v>375</v>
      </c>
      <c r="N6" s="221" t="s">
        <v>209</v>
      </c>
    </row>
    <row r="7" spans="1:14">
      <c r="A7" s="221" t="s">
        <v>350</v>
      </c>
      <c r="B7" s="221" t="s">
        <v>117</v>
      </c>
      <c r="C7" s="302">
        <v>42722</v>
      </c>
      <c r="D7" s="302">
        <v>44581</v>
      </c>
      <c r="E7" s="302"/>
      <c r="F7">
        <f>SUM(F8:F13)</f>
        <v>6</v>
      </c>
      <c r="G7">
        <v>48700</v>
      </c>
      <c r="H7">
        <f>Tabla5[[#This Row],[Salario]]*12/12</f>
        <v>48700</v>
      </c>
      <c r="I7">
        <v>3600</v>
      </c>
      <c r="J7">
        <v>1500</v>
      </c>
      <c r="K7">
        <f>+Tabla5[[#This Row],[Salario]]/30*20</f>
        <v>32466.666666666664</v>
      </c>
      <c r="L7">
        <f>Tabla5[[#This Row],[Salario]]*12+Tabla5[[#This Row],[Aguinaldo]]+Tabla5[[#This Row],[Comision]]*12+Tabla5[[#This Row],[Presentismo]]*8+Tabla5[[#This Row],[Licencia 2020]]</f>
        <v>720766.66666666663</v>
      </c>
      <c r="M7" s="320">
        <f>Tabla5[[#This Row],[Salario Anual]]/12</f>
        <v>60063.888888888883</v>
      </c>
      <c r="N7">
        <f>Tabla5[[#This Row],[BASE SALARIAL MENSUAL IPD]]*Tabla5[[#This Row],[Bases IPD]]</f>
        <v>360383.33333333331</v>
      </c>
    </row>
    <row r="8" spans="1:14">
      <c r="D8" s="302">
        <v>44217</v>
      </c>
      <c r="E8" s="222">
        <v>365</v>
      </c>
      <c r="F8">
        <v>1</v>
      </c>
    </row>
    <row r="9" spans="1:14">
      <c r="D9" s="303">
        <v>43851</v>
      </c>
      <c r="E9" s="222">
        <v>365</v>
      </c>
      <c r="F9">
        <v>1</v>
      </c>
    </row>
    <row r="10" spans="1:14">
      <c r="D10" s="302">
        <v>43486</v>
      </c>
      <c r="E10" s="222">
        <v>365</v>
      </c>
      <c r="F10">
        <v>1</v>
      </c>
    </row>
    <row r="11" spans="1:14">
      <c r="D11" s="302">
        <v>43121</v>
      </c>
      <c r="E11" s="222">
        <v>365</v>
      </c>
      <c r="F11">
        <v>1</v>
      </c>
    </row>
    <row r="12" spans="1:14">
      <c r="D12" s="302">
        <v>42756</v>
      </c>
      <c r="E12" s="222">
        <v>365</v>
      </c>
      <c r="F12">
        <v>1</v>
      </c>
    </row>
    <row r="13" spans="1:14">
      <c r="D13" s="302">
        <v>42722</v>
      </c>
      <c r="E13" s="222">
        <f>+D12-D13</f>
        <v>34</v>
      </c>
      <c r="F13">
        <v>1</v>
      </c>
    </row>
    <row r="16" spans="1:14" ht="28.8">
      <c r="A16" s="321" t="s">
        <v>2</v>
      </c>
      <c r="B16" s="322" t="s">
        <v>355</v>
      </c>
      <c r="C16" s="322" t="s">
        <v>351</v>
      </c>
      <c r="D16" s="322" t="s">
        <v>352</v>
      </c>
      <c r="E16" s="322" t="s">
        <v>358</v>
      </c>
      <c r="F16" s="323" t="s">
        <v>376</v>
      </c>
      <c r="G16" s="323" t="s">
        <v>378</v>
      </c>
      <c r="H16" s="322" t="s">
        <v>336</v>
      </c>
      <c r="I16" s="322" t="s">
        <v>380</v>
      </c>
      <c r="J16" s="322" t="s">
        <v>268</v>
      </c>
      <c r="K16" s="322" t="s">
        <v>373</v>
      </c>
      <c r="L16" s="322" t="s">
        <v>374</v>
      </c>
      <c r="M16" s="323" t="s">
        <v>381</v>
      </c>
      <c r="N16" s="324" t="s">
        <v>209</v>
      </c>
    </row>
    <row r="17" spans="1:14">
      <c r="A17" s="221" t="s">
        <v>356</v>
      </c>
      <c r="B17" s="221" t="s">
        <v>357</v>
      </c>
      <c r="C17" s="302">
        <v>42722</v>
      </c>
      <c r="D17" s="302">
        <v>44581</v>
      </c>
      <c r="E17" s="302"/>
      <c r="F17">
        <f>SUM(F18:F23)</f>
        <v>127</v>
      </c>
      <c r="G17">
        <v>112</v>
      </c>
      <c r="H17" s="326">
        <f t="shared" ref="H17:H25" si="0">B19*22</f>
        <v>40480</v>
      </c>
      <c r="I17">
        <v>750</v>
      </c>
      <c r="J17">
        <v>1500</v>
      </c>
      <c r="K17" s="326">
        <f t="shared" ref="K17:K25" si="1">20*B19</f>
        <v>36800</v>
      </c>
      <c r="L17" s="326">
        <f>B19*E18+Tabla6[[#This Row],[Aguinaldo]]+Tabla6[[#This Row],[Alimentacion]]*12+Tabla6[[#This Row],[Presentismo]]*5+Tabla6[[#This Row],[Licencia 2020]]</f>
        <v>645780</v>
      </c>
      <c r="M17" s="326">
        <f>Tabla6[[#This Row],[Salario Anual]]/E18</f>
        <v>2152.6</v>
      </c>
      <c r="N17" s="326">
        <f>Tabla6[[#This Row],[Bases IPD ]]*Tabla6[[#This Row],[JORNAL BASE IPD]]</f>
        <v>273380.2</v>
      </c>
    </row>
    <row r="18" spans="1:14">
      <c r="D18" s="302">
        <v>44217</v>
      </c>
      <c r="E18" s="222">
        <f>25*12</f>
        <v>300</v>
      </c>
      <c r="F18">
        <v>25</v>
      </c>
      <c r="G18">
        <v>25</v>
      </c>
      <c r="H18" s="326"/>
      <c r="K18" s="326"/>
      <c r="L18" s="326"/>
      <c r="M18" s="326"/>
      <c r="N18" s="326"/>
    </row>
    <row r="19" spans="1:14">
      <c r="A19" s="299" t="s">
        <v>379</v>
      </c>
      <c r="B19" s="325">
        <v>1840</v>
      </c>
      <c r="D19" s="303">
        <v>43851</v>
      </c>
      <c r="E19" s="222">
        <v>280</v>
      </c>
      <c r="F19">
        <v>25</v>
      </c>
      <c r="G19">
        <v>25</v>
      </c>
      <c r="H19" s="326"/>
      <c r="K19" s="326"/>
      <c r="L19" s="326"/>
      <c r="M19" s="326"/>
      <c r="N19" s="326"/>
    </row>
    <row r="20" spans="1:14">
      <c r="D20" s="302">
        <v>43486</v>
      </c>
      <c r="E20" s="222">
        <f>25*8</f>
        <v>200</v>
      </c>
      <c r="F20">
        <v>25</v>
      </c>
      <c r="G20">
        <f>+E20/25*2</f>
        <v>16</v>
      </c>
      <c r="H20" s="326"/>
      <c r="K20" s="326"/>
      <c r="L20" s="326"/>
      <c r="M20" s="326"/>
      <c r="N20" s="326"/>
    </row>
    <row r="21" spans="1:14">
      <c r="D21" s="302">
        <v>43121</v>
      </c>
      <c r="E21" s="222">
        <f>9*25</f>
        <v>225</v>
      </c>
      <c r="F21">
        <v>25</v>
      </c>
      <c r="G21">
        <f>+E21/25*2</f>
        <v>18</v>
      </c>
      <c r="H21" s="326"/>
      <c r="K21" s="326"/>
      <c r="L21" s="326"/>
      <c r="M21" s="326"/>
      <c r="N21" s="326"/>
    </row>
    <row r="22" spans="1:14">
      <c r="D22" s="302">
        <v>42756</v>
      </c>
      <c r="E22" s="222">
        <v>300</v>
      </c>
      <c r="F22">
        <v>25</v>
      </c>
      <c r="G22">
        <v>25</v>
      </c>
      <c r="H22" s="326"/>
      <c r="K22" s="326"/>
      <c r="L22" s="326"/>
      <c r="M22" s="326"/>
      <c r="N22" s="326"/>
    </row>
    <row r="23" spans="1:14">
      <c r="D23" s="302">
        <v>42722</v>
      </c>
      <c r="E23" s="222">
        <v>30</v>
      </c>
      <c r="F23">
        <v>2</v>
      </c>
      <c r="G23">
        <v>3</v>
      </c>
      <c r="H23" s="326"/>
      <c r="K23" s="326"/>
      <c r="L23" s="326"/>
      <c r="M23" s="326"/>
      <c r="N23" s="326"/>
    </row>
    <row r="24" spans="1:14">
      <c r="D24" s="221" t="s">
        <v>359</v>
      </c>
      <c r="E24" s="222">
        <v>261</v>
      </c>
      <c r="H24" s="326"/>
      <c r="K24" s="326"/>
      <c r="L24" s="326"/>
      <c r="M24" s="326"/>
      <c r="N24" s="326"/>
    </row>
    <row r="25" spans="1:14">
      <c r="D25" s="221" t="s">
        <v>360</v>
      </c>
      <c r="E25" s="222">
        <f>AVERAGE(E18:E23)</f>
        <v>222.5</v>
      </c>
      <c r="F25" s="221" t="s">
        <v>377</v>
      </c>
      <c r="H25" s="326"/>
      <c r="K25" s="326"/>
      <c r="L25" s="326"/>
      <c r="M25" s="326"/>
      <c r="N25" s="326"/>
    </row>
    <row r="28" spans="1:14">
      <c r="E28" s="222"/>
    </row>
  </sheetData>
  <pageMargins left="0.7" right="0.7" top="0.75" bottom="0.75" header="0.3" footer="0.3"/>
  <pageSetup paperSize="9" orientation="portrait" verticalDpi="0" r:id="rId1"/>
  <legacyDrawing r:id="rId2"/>
  <tableParts count="2"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EE232-B035-4CC9-98B1-359269140E46}">
  <dimension ref="A1:E11"/>
  <sheetViews>
    <sheetView zoomScale="150" zoomScaleNormal="150" workbookViewId="0">
      <selection activeCell="D11" sqref="D11"/>
    </sheetView>
  </sheetViews>
  <sheetFormatPr baseColWidth="10" defaultRowHeight="14.4"/>
  <cols>
    <col min="1" max="1" width="17.77734375" customWidth="1"/>
    <col min="3" max="3" width="15" customWidth="1"/>
    <col min="4" max="4" width="15.33203125" customWidth="1"/>
  </cols>
  <sheetData>
    <row r="1" spans="1:5">
      <c r="A1" s="221" t="s">
        <v>286</v>
      </c>
    </row>
    <row r="3" spans="1:5" ht="28.8">
      <c r="A3" s="233" t="s">
        <v>288</v>
      </c>
      <c r="B3" s="233" t="s">
        <v>287</v>
      </c>
      <c r="C3" s="233" t="s">
        <v>295</v>
      </c>
      <c r="D3" s="233" t="s">
        <v>296</v>
      </c>
      <c r="E3" s="233" t="s">
        <v>297</v>
      </c>
    </row>
    <row r="4" spans="1:5">
      <c r="A4" s="230">
        <v>0.37986111111111115</v>
      </c>
      <c r="B4" s="231" t="s">
        <v>289</v>
      </c>
      <c r="C4" s="235">
        <v>10000</v>
      </c>
      <c r="D4" s="236">
        <f>+C4/9.2</f>
        <v>1086.9565217391305</v>
      </c>
      <c r="E4" s="235">
        <f>+D4-D8</f>
        <v>34.324942791762169</v>
      </c>
    </row>
    <row r="5" spans="1:5">
      <c r="A5" s="230">
        <v>1.0416666666666666E-2</v>
      </c>
      <c r="B5" s="231" t="s">
        <v>290</v>
      </c>
      <c r="C5" s="235"/>
      <c r="D5" s="236"/>
      <c r="E5" s="235"/>
    </row>
    <row r="6" spans="1:5">
      <c r="A6" s="230">
        <v>5.5555555555555558E-3</v>
      </c>
      <c r="B6" s="231" t="s">
        <v>291</v>
      </c>
      <c r="C6" s="235"/>
      <c r="D6" s="236"/>
      <c r="E6" s="235"/>
    </row>
    <row r="7" spans="1:5" ht="9" customHeight="1">
      <c r="A7" s="232"/>
      <c r="B7" s="231"/>
      <c r="C7" s="235"/>
      <c r="D7" s="235"/>
      <c r="E7" s="235"/>
    </row>
    <row r="8" spans="1:5">
      <c r="A8" s="230">
        <v>0.39583333333333331</v>
      </c>
      <c r="B8" s="231" t="s">
        <v>292</v>
      </c>
      <c r="C8" s="235">
        <v>10000</v>
      </c>
      <c r="D8" s="236">
        <f>+C8/9.5</f>
        <v>1052.6315789473683</v>
      </c>
      <c r="E8" s="235"/>
    </row>
    <row r="9" spans="1:5">
      <c r="A9" s="230">
        <v>2.0833333333333332E-2</v>
      </c>
      <c r="B9" s="231" t="s">
        <v>293</v>
      </c>
      <c r="C9" s="235"/>
      <c r="D9" s="236"/>
      <c r="E9" s="235"/>
    </row>
    <row r="10" spans="1:5">
      <c r="A10" s="230">
        <v>1.0416666666666666E-2</v>
      </c>
      <c r="B10" s="231" t="s">
        <v>294</v>
      </c>
      <c r="C10" s="235"/>
      <c r="D10" s="236"/>
      <c r="E10" s="235"/>
    </row>
    <row r="11" spans="1:5">
      <c r="A11" s="230">
        <f>+A8-A9-A10</f>
        <v>0.36458333333333331</v>
      </c>
      <c r="B11" s="234" t="s">
        <v>298</v>
      </c>
      <c r="C11" s="235">
        <v>10000</v>
      </c>
      <c r="D11" s="235">
        <f>+C11/8.75</f>
        <v>1142.8571428571429</v>
      </c>
      <c r="E11" s="235">
        <f>+D11-D8</f>
        <v>90.225563909774564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3ED9F-E437-4C20-9924-ACD2812F0DA7}">
  <dimension ref="A1:L54"/>
  <sheetViews>
    <sheetView topLeftCell="A13" zoomScale="141" zoomScaleNormal="141" workbookViewId="0">
      <selection activeCell="I57" sqref="I57:J57"/>
    </sheetView>
  </sheetViews>
  <sheetFormatPr baseColWidth="10" defaultRowHeight="14.4"/>
  <cols>
    <col min="1" max="1" width="18.6640625" customWidth="1"/>
    <col min="3" max="3" width="18.77734375" customWidth="1"/>
    <col min="9" max="9" width="14" customWidth="1"/>
  </cols>
  <sheetData>
    <row r="1" spans="1:11">
      <c r="A1" t="s">
        <v>263</v>
      </c>
    </row>
    <row r="5" spans="1:11">
      <c r="A5" t="s">
        <v>264</v>
      </c>
      <c r="C5" t="s">
        <v>276</v>
      </c>
    </row>
    <row r="6" spans="1:11">
      <c r="B6">
        <v>2020</v>
      </c>
      <c r="C6">
        <v>2021</v>
      </c>
      <c r="D6">
        <v>2021</v>
      </c>
      <c r="E6">
        <v>2021</v>
      </c>
      <c r="F6">
        <v>2021</v>
      </c>
      <c r="G6">
        <v>2021</v>
      </c>
    </row>
    <row r="7" spans="1:11">
      <c r="A7" t="s">
        <v>74</v>
      </c>
      <c r="B7" t="s">
        <v>270</v>
      </c>
      <c r="C7" t="s">
        <v>271</v>
      </c>
      <c r="D7" t="s">
        <v>242</v>
      </c>
      <c r="E7" t="s">
        <v>272</v>
      </c>
      <c r="F7" t="s">
        <v>273</v>
      </c>
      <c r="G7" t="s">
        <v>274</v>
      </c>
      <c r="H7" s="221" t="s">
        <v>223</v>
      </c>
    </row>
    <row r="8" spans="1:11">
      <c r="A8" t="s">
        <v>76</v>
      </c>
      <c r="B8">
        <v>155000</v>
      </c>
      <c r="C8">
        <v>155000</v>
      </c>
      <c r="D8">
        <v>155000</v>
      </c>
      <c r="E8">
        <v>155000</v>
      </c>
      <c r="F8">
        <v>155000</v>
      </c>
      <c r="G8">
        <v>155000</v>
      </c>
    </row>
    <row r="9" spans="1:11">
      <c r="A9" t="s">
        <v>265</v>
      </c>
      <c r="I9" s="221" t="s">
        <v>328</v>
      </c>
    </row>
    <row r="10" spans="1:11">
      <c r="A10" s="223" t="s">
        <v>266</v>
      </c>
      <c r="B10" s="223">
        <v>1800</v>
      </c>
      <c r="C10" s="223">
        <v>1800</v>
      </c>
      <c r="D10" s="223">
        <v>1800</v>
      </c>
      <c r="E10" s="223">
        <v>1800</v>
      </c>
      <c r="F10" s="223">
        <v>1800</v>
      </c>
      <c r="G10" s="223">
        <v>1800</v>
      </c>
      <c r="I10" s="266" t="s">
        <v>329</v>
      </c>
      <c r="K10" s="266"/>
    </row>
    <row r="11" spans="1:11">
      <c r="A11" s="223" t="s">
        <v>267</v>
      </c>
      <c r="B11" s="223">
        <v>1600</v>
      </c>
      <c r="C11" s="223">
        <v>1600</v>
      </c>
      <c r="D11" s="223">
        <v>1600</v>
      </c>
      <c r="E11" s="223">
        <v>1600</v>
      </c>
      <c r="F11" s="223">
        <v>1600</v>
      </c>
      <c r="G11" s="223">
        <v>1600</v>
      </c>
      <c r="I11" s="266" t="s">
        <v>321</v>
      </c>
      <c r="K11" s="266"/>
    </row>
    <row r="12" spans="1:11">
      <c r="A12" t="s">
        <v>268</v>
      </c>
      <c r="B12">
        <v>2500</v>
      </c>
      <c r="C12">
        <v>2500</v>
      </c>
      <c r="D12">
        <v>2500</v>
      </c>
      <c r="E12">
        <v>2500</v>
      </c>
      <c r="F12">
        <v>2500</v>
      </c>
      <c r="G12">
        <v>0</v>
      </c>
      <c r="I12" s="266" t="s">
        <v>322</v>
      </c>
      <c r="K12" s="266"/>
    </row>
    <row r="13" spans="1:11">
      <c r="A13" t="s">
        <v>269</v>
      </c>
      <c r="B13" s="222">
        <f>B8/30/8*2*3</f>
        <v>3875</v>
      </c>
      <c r="I13" s="266" t="s">
        <v>323</v>
      </c>
      <c r="K13" s="266"/>
    </row>
    <row r="14" spans="1:11">
      <c r="A14" s="221" t="s">
        <v>223</v>
      </c>
      <c r="B14" s="222">
        <f>SUBTOTAL(109,B8:B13)</f>
        <v>164775</v>
      </c>
      <c r="C14">
        <f>SUBTOTAL(109,C8:C13)</f>
        <v>160900</v>
      </c>
      <c r="D14">
        <f t="shared" ref="D14:G14" si="0">SUBTOTAL(109,D8:D13)</f>
        <v>160900</v>
      </c>
      <c r="E14">
        <f t="shared" si="0"/>
        <v>160900</v>
      </c>
      <c r="F14">
        <f t="shared" si="0"/>
        <v>160900</v>
      </c>
      <c r="G14">
        <f t="shared" si="0"/>
        <v>158400</v>
      </c>
      <c r="I14" s="266" t="s">
        <v>324</v>
      </c>
      <c r="K14" s="266"/>
    </row>
    <row r="15" spans="1:11" ht="15" thickBot="1">
      <c r="A15" s="224" t="s">
        <v>277</v>
      </c>
      <c r="B15" s="225">
        <f>+B8+B12+B13</f>
        <v>161375</v>
      </c>
      <c r="C15" s="225">
        <f t="shared" ref="C15:G15" si="1">+C8+C12+C13</f>
        <v>157500</v>
      </c>
      <c r="D15" s="225">
        <f t="shared" si="1"/>
        <v>157500</v>
      </c>
      <c r="E15" s="225">
        <f t="shared" si="1"/>
        <v>157500</v>
      </c>
      <c r="F15" s="225">
        <f t="shared" si="1"/>
        <v>157500</v>
      </c>
      <c r="G15" s="225">
        <f t="shared" si="1"/>
        <v>155000</v>
      </c>
      <c r="H15" s="225">
        <f>SUM(Tabla1[[#This Row],[Diciembre]:[Mayo]])</f>
        <v>946375</v>
      </c>
      <c r="I15" s="266" t="s">
        <v>325</v>
      </c>
      <c r="K15" s="266"/>
    </row>
    <row r="16" spans="1:11" ht="18.600000000000001" thickBot="1">
      <c r="B16" s="227" t="s">
        <v>275</v>
      </c>
      <c r="C16" s="228"/>
      <c r="D16" s="229">
        <f>H15/12</f>
        <v>78864.583333333328</v>
      </c>
      <c r="I16" s="266" t="s">
        <v>326</v>
      </c>
      <c r="K16" s="266"/>
    </row>
    <row r="17" spans="1:11">
      <c r="I17" s="266" t="s">
        <v>327</v>
      </c>
      <c r="K17" s="266"/>
    </row>
    <row r="18" spans="1:11">
      <c r="A18" s="221" t="s">
        <v>299</v>
      </c>
      <c r="J18" s="266"/>
      <c r="K18" s="266"/>
    </row>
    <row r="19" spans="1:11">
      <c r="A19" t="s">
        <v>74</v>
      </c>
      <c r="B19" s="221" t="s">
        <v>278</v>
      </c>
      <c r="C19" s="221" t="s">
        <v>279</v>
      </c>
      <c r="D19" s="221" t="s">
        <v>280</v>
      </c>
      <c r="E19" s="221" t="s">
        <v>281</v>
      </c>
      <c r="F19" s="221" t="s">
        <v>282</v>
      </c>
      <c r="G19" s="221" t="s">
        <v>283</v>
      </c>
      <c r="H19" s="221" t="s">
        <v>223</v>
      </c>
    </row>
    <row r="20" spans="1:11">
      <c r="A20" t="s">
        <v>76</v>
      </c>
      <c r="B20">
        <v>155000</v>
      </c>
      <c r="C20">
        <f>+Tabla13[[#This Row],[Juni]]*1.1</f>
        <v>170500</v>
      </c>
      <c r="D20">
        <v>170500</v>
      </c>
      <c r="E20">
        <v>170500</v>
      </c>
      <c r="F20">
        <v>170500</v>
      </c>
      <c r="G20">
        <v>170500</v>
      </c>
      <c r="H20">
        <f>SUM(Tabla13[[#This Row],[Juni]:[Noviembre]])</f>
        <v>1007500</v>
      </c>
    </row>
    <row r="21" spans="1:11">
      <c r="A21" t="s">
        <v>265</v>
      </c>
      <c r="E21">
        <v>5000</v>
      </c>
      <c r="H21">
        <f>SUM(Tabla13[[#This Row],[Juni]:[Noviembre]])</f>
        <v>5000</v>
      </c>
    </row>
    <row r="22" spans="1:11">
      <c r="A22" s="152" t="s">
        <v>266</v>
      </c>
      <c r="B22" s="152">
        <v>1800</v>
      </c>
      <c r="C22" s="152">
        <v>1800</v>
      </c>
      <c r="D22" s="152">
        <v>1800</v>
      </c>
      <c r="E22" s="152">
        <v>1800</v>
      </c>
      <c r="F22" s="152">
        <v>1800</v>
      </c>
      <c r="G22" s="152">
        <v>1800</v>
      </c>
      <c r="H22">
        <f>SUM(Tabla13[[#This Row],[Juni]:[Noviembre]])</f>
        <v>10800</v>
      </c>
    </row>
    <row r="23" spans="1:11">
      <c r="A23" s="152" t="s">
        <v>267</v>
      </c>
      <c r="B23" s="152">
        <v>1600</v>
      </c>
      <c r="C23" s="152">
        <v>1600</v>
      </c>
      <c r="D23" s="152">
        <v>1600</v>
      </c>
      <c r="E23" s="152">
        <v>1600</v>
      </c>
      <c r="F23" s="152">
        <v>1600</v>
      </c>
      <c r="G23" s="152">
        <v>1600</v>
      </c>
      <c r="H23">
        <f>SUM(Tabla13[[#This Row],[Juni]:[Noviembre]])</f>
        <v>9600</v>
      </c>
    </row>
    <row r="24" spans="1:11">
      <c r="A24" t="s">
        <v>268</v>
      </c>
      <c r="B24">
        <v>2500</v>
      </c>
      <c r="C24">
        <v>2500</v>
      </c>
      <c r="D24">
        <v>2500</v>
      </c>
      <c r="E24">
        <v>2500</v>
      </c>
      <c r="F24">
        <v>2500</v>
      </c>
      <c r="G24">
        <v>2500</v>
      </c>
      <c r="H24">
        <f>SUM(Tabla13[[#This Row],[Juni]:[Noviembre]])</f>
        <v>15000</v>
      </c>
    </row>
    <row r="25" spans="1:11">
      <c r="A25" t="s">
        <v>269</v>
      </c>
      <c r="B25" s="222"/>
      <c r="H25">
        <f>SUM(Tabla13[[#This Row],[Juni]:[Noviembre]])</f>
        <v>0</v>
      </c>
    </row>
    <row r="26" spans="1:11">
      <c r="A26" s="221" t="s">
        <v>223</v>
      </c>
      <c r="B26" s="222"/>
      <c r="H26">
        <f>SUM(Tabla13[[#This Row],[Juni]:[Noviembre]])</f>
        <v>0</v>
      </c>
    </row>
    <row r="27" spans="1:11" ht="15" thickBot="1">
      <c r="A27" s="224" t="s">
        <v>277</v>
      </c>
      <c r="B27" s="225"/>
      <c r="C27" s="225"/>
      <c r="D27" s="225"/>
      <c r="E27" s="225"/>
      <c r="F27" s="225"/>
      <c r="G27" s="225"/>
      <c r="H27" s="225">
        <f>H24+H20</f>
        <v>1022500</v>
      </c>
    </row>
    <row r="28" spans="1:11" ht="18">
      <c r="A28" s="208"/>
      <c r="B28" s="267" t="s">
        <v>330</v>
      </c>
      <c r="C28" s="268"/>
      <c r="D28" s="269">
        <f>H27/12</f>
        <v>85208.333333333328</v>
      </c>
      <c r="E28" s="208"/>
      <c r="F28" s="208"/>
      <c r="G28" s="208"/>
      <c r="H28" s="270">
        <f>+H27/12</f>
        <v>85208.333333333328</v>
      </c>
    </row>
    <row r="31" spans="1:11" ht="18">
      <c r="A31" s="226" t="s">
        <v>300</v>
      </c>
    </row>
    <row r="32" spans="1:11" ht="15" thickBot="1"/>
    <row r="33" spans="1:12" ht="15.6" thickTop="1" thickBot="1">
      <c r="A33" s="237" t="s">
        <v>306</v>
      </c>
      <c r="B33" s="92"/>
      <c r="C33" s="92"/>
      <c r="D33" s="92"/>
      <c r="E33" s="92"/>
      <c r="F33" s="92"/>
      <c r="G33" s="92"/>
      <c r="H33" s="92"/>
      <c r="I33" s="92"/>
      <c r="J33" s="92"/>
      <c r="K33" s="93"/>
    </row>
    <row r="34" spans="1:12" ht="15" thickBot="1">
      <c r="A34" s="77" t="s">
        <v>155</v>
      </c>
      <c r="B34" s="95"/>
      <c r="C34" s="95"/>
      <c r="D34" s="95"/>
      <c r="E34" s="95"/>
      <c r="F34" s="95"/>
      <c r="G34" s="95"/>
      <c r="H34" s="95"/>
      <c r="I34" s="95"/>
      <c r="J34" s="95"/>
      <c r="K34" s="96"/>
    </row>
    <row r="35" spans="1:12" ht="15" thickBot="1">
      <c r="A35" s="77" t="s">
        <v>160</v>
      </c>
      <c r="B35" s="95"/>
      <c r="C35" s="95"/>
      <c r="D35" s="95"/>
      <c r="E35" s="95"/>
      <c r="F35" s="95"/>
      <c r="G35" s="95"/>
      <c r="H35" s="95"/>
      <c r="I35" s="95"/>
      <c r="J35" s="95"/>
      <c r="K35" s="96"/>
    </row>
    <row r="36" spans="1:12" ht="15" thickBot="1">
      <c r="A36" s="241" t="s">
        <v>162</v>
      </c>
      <c r="B36" s="242"/>
      <c r="C36" s="242"/>
      <c r="D36" s="242"/>
      <c r="E36" s="242"/>
      <c r="F36" s="242"/>
      <c r="G36" s="242"/>
      <c r="H36" s="242"/>
      <c r="I36" s="242"/>
      <c r="J36" s="242"/>
      <c r="K36" s="243"/>
    </row>
    <row r="37" spans="1:12" ht="33" customHeight="1" thickTop="1" thickBot="1">
      <c r="A37" s="305" t="s">
        <v>318</v>
      </c>
      <c r="B37" s="306"/>
      <c r="C37" s="306"/>
      <c r="D37" s="306"/>
      <c r="E37" s="306"/>
      <c r="F37" s="306"/>
      <c r="G37" s="306"/>
      <c r="H37" s="306"/>
      <c r="I37" s="306"/>
      <c r="J37" s="306"/>
      <c r="K37" s="307"/>
    </row>
    <row r="38" spans="1:12" ht="15" thickTop="1"/>
    <row r="39" spans="1:12" ht="50.4" customHeight="1">
      <c r="A39" s="3" t="s">
        <v>2</v>
      </c>
      <c r="B39" s="3" t="s">
        <v>1</v>
      </c>
      <c r="C39" s="3" t="s">
        <v>3</v>
      </c>
      <c r="D39" s="3" t="s">
        <v>4</v>
      </c>
      <c r="E39" s="3" t="s">
        <v>5</v>
      </c>
      <c r="F39" s="238" t="s">
        <v>301</v>
      </c>
      <c r="G39" s="3" t="s">
        <v>7</v>
      </c>
      <c r="H39" s="3" t="s">
        <v>8</v>
      </c>
      <c r="I39" s="3" t="s">
        <v>9</v>
      </c>
      <c r="J39" s="3" t="s">
        <v>10</v>
      </c>
      <c r="K39" s="3" t="s">
        <v>11</v>
      </c>
      <c r="L39" s="3" t="s">
        <v>12</v>
      </c>
    </row>
    <row r="40" spans="1:12">
      <c r="A40" s="167" t="s">
        <v>302</v>
      </c>
      <c r="B40" s="167" t="s">
        <v>303</v>
      </c>
      <c r="C40" s="239" t="s">
        <v>304</v>
      </c>
      <c r="D40" s="155">
        <v>44287</v>
      </c>
      <c r="E40" s="167" t="s">
        <v>305</v>
      </c>
      <c r="F40" s="167" t="s">
        <v>17</v>
      </c>
      <c r="G40" s="150" t="s">
        <v>18</v>
      </c>
      <c r="H40" s="150">
        <v>0</v>
      </c>
      <c r="I40" s="167" t="s">
        <v>29</v>
      </c>
      <c r="J40" s="156">
        <v>196</v>
      </c>
      <c r="K40" s="150"/>
      <c r="L40" s="150"/>
    </row>
    <row r="42" spans="1:12">
      <c r="A42" s="240" t="s">
        <v>307</v>
      </c>
      <c r="B42" s="240"/>
      <c r="C42" s="240">
        <v>2021</v>
      </c>
    </row>
    <row r="43" spans="1:12">
      <c r="A43" s="221" t="s">
        <v>74</v>
      </c>
      <c r="B43" s="221" t="s">
        <v>309</v>
      </c>
      <c r="C43" s="221" t="s">
        <v>308</v>
      </c>
      <c r="D43" s="221" t="s">
        <v>310</v>
      </c>
      <c r="E43" s="221" t="s">
        <v>311</v>
      </c>
      <c r="F43" s="221" t="s">
        <v>312</v>
      </c>
      <c r="G43" s="221" t="s">
        <v>313</v>
      </c>
      <c r="H43" s="221" t="s">
        <v>314</v>
      </c>
      <c r="I43" s="283" t="s">
        <v>315</v>
      </c>
      <c r="J43" s="221" t="s">
        <v>316</v>
      </c>
    </row>
    <row r="44" spans="1:12">
      <c r="A44" s="221" t="s">
        <v>317</v>
      </c>
      <c r="B44">
        <v>200</v>
      </c>
      <c r="C44">
        <v>208</v>
      </c>
      <c r="D44">
        <v>192</v>
      </c>
      <c r="E44">
        <v>200</v>
      </c>
      <c r="F44">
        <v>200</v>
      </c>
      <c r="G44">
        <v>200</v>
      </c>
      <c r="H44">
        <v>200</v>
      </c>
      <c r="I44" s="284">
        <v>200</v>
      </c>
      <c r="J44">
        <v>200</v>
      </c>
    </row>
    <row r="45" spans="1:12">
      <c r="A45" s="277" t="s">
        <v>51</v>
      </c>
      <c r="B45" s="208"/>
      <c r="C45" s="208">
        <v>32</v>
      </c>
      <c r="D45" s="208"/>
      <c r="E45" s="208">
        <v>32</v>
      </c>
      <c r="F45" s="208"/>
      <c r="G45" s="208">
        <v>32</v>
      </c>
      <c r="H45" s="208"/>
      <c r="I45" s="284">
        <v>32</v>
      </c>
      <c r="J45" s="208"/>
    </row>
    <row r="46" spans="1:12" ht="15" thickBot="1">
      <c r="A46" s="278" t="s">
        <v>334</v>
      </c>
      <c r="B46" s="279">
        <v>196</v>
      </c>
      <c r="C46" s="279">
        <v>196</v>
      </c>
      <c r="D46" s="279">
        <v>196</v>
      </c>
      <c r="E46" s="279">
        <v>196</v>
      </c>
      <c r="F46" s="279">
        <v>196</v>
      </c>
      <c r="G46" s="279">
        <v>196</v>
      </c>
      <c r="H46" s="279">
        <v>196</v>
      </c>
      <c r="I46" s="285">
        <v>196</v>
      </c>
      <c r="J46" s="279">
        <v>196</v>
      </c>
    </row>
    <row r="47" spans="1:12">
      <c r="A47" s="280" t="s">
        <v>331</v>
      </c>
      <c r="B47" s="281">
        <f t="shared" ref="B47:J47" si="2">B46*B44</f>
        <v>39200</v>
      </c>
      <c r="C47" s="281">
        <f t="shared" si="2"/>
        <v>40768</v>
      </c>
      <c r="D47" s="281">
        <f t="shared" si="2"/>
        <v>37632</v>
      </c>
      <c r="E47" s="281">
        <f t="shared" si="2"/>
        <v>39200</v>
      </c>
      <c r="F47" s="281">
        <f t="shared" si="2"/>
        <v>39200</v>
      </c>
      <c r="G47" s="281">
        <f t="shared" si="2"/>
        <v>39200</v>
      </c>
      <c r="H47" s="281">
        <f t="shared" si="2"/>
        <v>39200</v>
      </c>
      <c r="I47" s="286">
        <f t="shared" si="2"/>
        <v>39200</v>
      </c>
      <c r="J47" s="282">
        <f t="shared" si="2"/>
        <v>39200</v>
      </c>
    </row>
    <row r="48" spans="1:12">
      <c r="A48" s="274" t="s">
        <v>332</v>
      </c>
      <c r="B48" s="275"/>
      <c r="C48" s="275">
        <f>C45*C46*2</f>
        <v>12544</v>
      </c>
      <c r="D48" s="275"/>
      <c r="E48" s="275">
        <f>E45*E46*2</f>
        <v>12544</v>
      </c>
      <c r="F48" s="275"/>
      <c r="G48" s="275">
        <f>G45*G46*2</f>
        <v>12544</v>
      </c>
      <c r="H48" s="275"/>
      <c r="I48" s="287">
        <f>I45*I46*2</f>
        <v>12544</v>
      </c>
      <c r="J48" s="276"/>
    </row>
    <row r="49" spans="1:10">
      <c r="A49" s="274" t="s">
        <v>268</v>
      </c>
      <c r="B49" s="275">
        <v>530</v>
      </c>
      <c r="C49" s="275">
        <v>530</v>
      </c>
      <c r="D49" s="275">
        <v>530</v>
      </c>
      <c r="E49" s="275">
        <v>530</v>
      </c>
      <c r="F49" s="275">
        <v>530</v>
      </c>
      <c r="G49" s="275">
        <v>530</v>
      </c>
      <c r="H49" s="275">
        <v>530</v>
      </c>
      <c r="I49" s="287">
        <v>530</v>
      </c>
      <c r="J49" s="275">
        <v>530</v>
      </c>
    </row>
    <row r="50" spans="1:10" ht="15" thickBot="1">
      <c r="A50" s="274" t="s">
        <v>333</v>
      </c>
      <c r="B50" s="275"/>
      <c r="C50" s="275">
        <f>+C46*8</f>
        <v>1568</v>
      </c>
      <c r="D50" s="275"/>
      <c r="E50" s="275">
        <f>E46*8</f>
        <v>1568</v>
      </c>
      <c r="F50" s="275">
        <f>F46*8</f>
        <v>1568</v>
      </c>
      <c r="G50" s="275"/>
      <c r="H50" s="275"/>
      <c r="I50" s="287"/>
      <c r="J50" s="276">
        <f>J46*8</f>
        <v>1568</v>
      </c>
    </row>
    <row r="51" spans="1:10">
      <c r="A51" s="288" t="s">
        <v>335</v>
      </c>
      <c r="B51" s="289">
        <f>SUBTOTAL(109,B47:B50)</f>
        <v>39730</v>
      </c>
      <c r="C51" s="289">
        <f t="shared" ref="C51:J51" si="3">SUBTOTAL(109,C47:C50)</f>
        <v>55410</v>
      </c>
      <c r="D51" s="289">
        <f t="shared" si="3"/>
        <v>38162</v>
      </c>
      <c r="E51" s="289">
        <f t="shared" si="3"/>
        <v>53842</v>
      </c>
      <c r="F51" s="289">
        <f t="shared" si="3"/>
        <v>41298</v>
      </c>
      <c r="G51" s="289">
        <f t="shared" si="3"/>
        <v>52274</v>
      </c>
      <c r="H51" s="289">
        <f t="shared" si="3"/>
        <v>39730</v>
      </c>
      <c r="I51" s="289">
        <f t="shared" si="3"/>
        <v>52274</v>
      </c>
      <c r="J51" s="295">
        <f t="shared" si="3"/>
        <v>41298</v>
      </c>
    </row>
    <row r="52" spans="1:10">
      <c r="A52" s="296" t="s">
        <v>336</v>
      </c>
      <c r="B52" s="293"/>
      <c r="C52" s="294">
        <f>(B47+C47+C48+B49+C49+C50)/12</f>
        <v>7928.333333333333</v>
      </c>
      <c r="D52" s="293"/>
      <c r="E52" s="293"/>
      <c r="F52" s="293"/>
      <c r="G52" s="293"/>
      <c r="H52" s="293"/>
      <c r="I52" s="293"/>
      <c r="J52" s="297">
        <f>J54/12</f>
        <v>23131.666666666668</v>
      </c>
    </row>
    <row r="53" spans="1:10" ht="15" thickBot="1">
      <c r="A53" s="290" t="s">
        <v>223</v>
      </c>
      <c r="B53" s="291">
        <f>B52+B51</f>
        <v>39730</v>
      </c>
      <c r="C53" s="291">
        <f t="shared" ref="C53:J53" si="4">C52+C51</f>
        <v>63338.333333333336</v>
      </c>
      <c r="D53" s="291">
        <f t="shared" si="4"/>
        <v>38162</v>
      </c>
      <c r="E53" s="291">
        <f t="shared" si="4"/>
        <v>53842</v>
      </c>
      <c r="F53" s="291">
        <f t="shared" si="4"/>
        <v>41298</v>
      </c>
      <c r="G53" s="291">
        <f t="shared" si="4"/>
        <v>52274</v>
      </c>
      <c r="H53" s="291">
        <f t="shared" si="4"/>
        <v>39730</v>
      </c>
      <c r="I53" s="291">
        <f t="shared" si="4"/>
        <v>52274</v>
      </c>
      <c r="J53" s="292">
        <f t="shared" si="4"/>
        <v>64429.666666666672</v>
      </c>
    </row>
    <row r="54" spans="1:10" ht="15" thickBot="1">
      <c r="A54" s="271" t="s">
        <v>337</v>
      </c>
      <c r="B54" s="272"/>
      <c r="C54" s="272"/>
      <c r="D54" s="272">
        <f t="shared" ref="D54:H54" si="5">SUM(D47:D50)</f>
        <v>38162</v>
      </c>
      <c r="E54" s="272">
        <f t="shared" si="5"/>
        <v>53842</v>
      </c>
      <c r="F54" s="272">
        <f t="shared" si="5"/>
        <v>41298</v>
      </c>
      <c r="G54" s="272">
        <f t="shared" si="5"/>
        <v>52274</v>
      </c>
      <c r="H54" s="272">
        <f t="shared" si="5"/>
        <v>39730</v>
      </c>
      <c r="I54" s="272">
        <f>SUM(I47:I50)</f>
        <v>52274</v>
      </c>
      <c r="J54" s="273">
        <f>SUM(D54:I54)</f>
        <v>277580</v>
      </c>
    </row>
  </sheetData>
  <mergeCells count="1">
    <mergeCell ref="A37:K37"/>
  </mergeCells>
  <phoneticPr fontId="34" type="noConversion"/>
  <pageMargins left="0.7" right="0.7" top="0.75" bottom="0.75" header="0.3" footer="0.3"/>
  <pageSetup paperSize="9" orientation="portrait" verticalDpi="0" r:id="rId1"/>
  <tableParts count="3">
    <tablePart r:id="rId2"/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J1000"/>
  <sheetViews>
    <sheetView topLeftCell="A49" zoomScale="102" zoomScaleNormal="102" workbookViewId="0">
      <selection activeCell="B56" sqref="B56"/>
    </sheetView>
  </sheetViews>
  <sheetFormatPr baseColWidth="10" defaultColWidth="14.44140625" defaultRowHeight="15" customHeight="1"/>
  <cols>
    <col min="1" max="1" width="10.6640625" customWidth="1"/>
    <col min="2" max="2" width="23.33203125" customWidth="1"/>
    <col min="3" max="3" width="32.109375" customWidth="1"/>
    <col min="4" max="4" width="17.6640625" customWidth="1"/>
    <col min="5" max="5" width="2.5546875" customWidth="1"/>
    <col min="6" max="6" width="32.33203125" customWidth="1"/>
    <col min="7" max="7" width="17.5546875" customWidth="1"/>
    <col min="8" max="8" width="17.6640625" customWidth="1"/>
    <col min="9" max="26" width="17.33203125" customWidth="1"/>
  </cols>
  <sheetData>
    <row r="1" spans="1:8" ht="36" customHeight="1">
      <c r="A1" s="8" t="s">
        <v>58</v>
      </c>
      <c r="C1" s="2"/>
      <c r="D1" s="2"/>
      <c r="E1" s="2"/>
      <c r="F1" s="2"/>
      <c r="G1" s="2"/>
      <c r="H1" s="2"/>
    </row>
    <row r="2" spans="1:8" ht="15.75" customHeight="1">
      <c r="C2" s="2"/>
      <c r="D2" s="2"/>
      <c r="E2" s="2"/>
      <c r="F2" s="2"/>
      <c r="G2" s="2"/>
      <c r="H2" s="2"/>
    </row>
    <row r="3" spans="1:8" ht="23.25" customHeight="1">
      <c r="B3" s="9" t="s">
        <v>59</v>
      </c>
      <c r="C3" s="10"/>
      <c r="D3" s="10"/>
      <c r="E3" s="10"/>
      <c r="F3" s="10"/>
      <c r="G3" s="10"/>
      <c r="H3" s="11" t="s">
        <v>60</v>
      </c>
    </row>
    <row r="4" spans="1:8" ht="15.75" customHeight="1">
      <c r="B4" s="12" t="s">
        <v>61</v>
      </c>
      <c r="C4" s="2"/>
      <c r="D4" s="2"/>
      <c r="E4" s="2"/>
      <c r="F4" s="2"/>
      <c r="G4" s="2"/>
      <c r="H4" s="13" t="s">
        <v>62</v>
      </c>
    </row>
    <row r="5" spans="1:8" ht="15.75" customHeight="1">
      <c r="B5" s="12" t="s">
        <v>63</v>
      </c>
      <c r="C5" s="2"/>
      <c r="D5" s="2"/>
      <c r="E5" s="2"/>
      <c r="F5" s="2"/>
      <c r="G5" s="2"/>
      <c r="H5" s="13" t="s">
        <v>64</v>
      </c>
    </row>
    <row r="6" spans="1:8" ht="15.75" customHeight="1">
      <c r="A6" s="5"/>
      <c r="B6" s="14" t="s">
        <v>65</v>
      </c>
      <c r="C6" s="15"/>
      <c r="D6" s="15"/>
      <c r="E6" s="15"/>
      <c r="F6" s="15"/>
      <c r="G6" s="15"/>
      <c r="H6" s="16" t="s">
        <v>66</v>
      </c>
    </row>
    <row r="7" spans="1:8" ht="15.75" customHeight="1">
      <c r="B7" s="17" t="s">
        <v>67</v>
      </c>
      <c r="C7" s="170" t="s">
        <v>250</v>
      </c>
      <c r="D7" s="2" t="s">
        <v>45</v>
      </c>
      <c r="E7" s="2"/>
      <c r="F7" s="18"/>
      <c r="G7" s="18"/>
      <c r="H7" s="19" t="s">
        <v>251</v>
      </c>
    </row>
    <row r="8" spans="1:8" ht="15.75" customHeight="1">
      <c r="B8" s="12" t="str">
        <f>Planillas!C5</f>
        <v>3887870-3</v>
      </c>
      <c r="C8" s="20" t="s">
        <v>69</v>
      </c>
      <c r="D8" s="21">
        <f>Planillas!D10</f>
        <v>41988</v>
      </c>
      <c r="E8" s="2"/>
      <c r="F8" s="4"/>
      <c r="G8" s="2"/>
      <c r="H8" s="13" t="s">
        <v>249</v>
      </c>
    </row>
    <row r="9" spans="1:8" ht="23.25" customHeight="1">
      <c r="B9" s="22"/>
      <c r="C9" s="15"/>
      <c r="D9" s="15"/>
      <c r="E9" s="15"/>
      <c r="F9" s="15"/>
      <c r="G9" s="15"/>
      <c r="H9" s="16" t="s">
        <v>70</v>
      </c>
    </row>
    <row r="10" spans="1:8" ht="6.75" customHeight="1">
      <c r="B10" s="23"/>
      <c r="C10" s="24"/>
      <c r="D10" s="25"/>
      <c r="E10" s="26"/>
      <c r="F10" s="27"/>
      <c r="G10" s="24"/>
      <c r="H10" s="28"/>
    </row>
    <row r="11" spans="1:8" ht="16.5" customHeight="1">
      <c r="B11" s="29"/>
      <c r="C11" s="30" t="s">
        <v>71</v>
      </c>
      <c r="D11" s="31"/>
      <c r="E11" s="32"/>
      <c r="F11" s="33" t="s">
        <v>72</v>
      </c>
      <c r="G11" s="34"/>
      <c r="H11" s="35"/>
    </row>
    <row r="12" spans="1:8" ht="15.75" customHeight="1">
      <c r="B12" s="36" t="s">
        <v>73</v>
      </c>
      <c r="C12" s="37" t="s">
        <v>74</v>
      </c>
      <c r="D12" s="38" t="s">
        <v>75</v>
      </c>
      <c r="E12" s="32"/>
      <c r="F12" s="39"/>
      <c r="G12" s="37" t="s">
        <v>74</v>
      </c>
      <c r="H12" s="38" t="s">
        <v>75</v>
      </c>
    </row>
    <row r="13" spans="1:8" ht="14.4">
      <c r="B13" s="40"/>
      <c r="C13" s="41" t="s">
        <v>76</v>
      </c>
      <c r="D13" s="42">
        <f>Planillas!K10</f>
        <v>38512</v>
      </c>
      <c r="E13" s="32"/>
      <c r="F13" s="43">
        <v>0.15</v>
      </c>
      <c r="G13" s="41" t="s">
        <v>77</v>
      </c>
      <c r="H13" s="163">
        <f>(D$13+D$14)*0.15</f>
        <v>5199.12</v>
      </c>
    </row>
    <row r="14" spans="1:8" ht="14.4">
      <c r="B14" s="45">
        <v>3</v>
      </c>
      <c r="C14" s="41" t="s">
        <v>78</v>
      </c>
      <c r="D14" s="162">
        <f>B14*D13/-30</f>
        <v>-3851.2</v>
      </c>
      <c r="E14" s="32"/>
      <c r="F14" s="43" t="s">
        <v>79</v>
      </c>
      <c r="G14" s="41" t="s">
        <v>80</v>
      </c>
      <c r="H14" s="163">
        <f>(D$13+D$14)*0.045</f>
        <v>1559.7360000000001</v>
      </c>
    </row>
    <row r="15" spans="1:8" ht="14.4">
      <c r="B15" s="40"/>
      <c r="C15" s="166" t="s">
        <v>252</v>
      </c>
      <c r="D15" s="46">
        <f>Planillas!L10</f>
        <v>10500</v>
      </c>
      <c r="E15" s="32"/>
      <c r="F15" s="47">
        <v>0.01</v>
      </c>
      <c r="G15" s="41" t="s">
        <v>81</v>
      </c>
      <c r="H15" s="163">
        <f>(D$13+D$14)*0.001</f>
        <v>34.660800000000002</v>
      </c>
    </row>
    <row r="16" spans="1:8" ht="14.4">
      <c r="B16" s="40"/>
      <c r="C16" s="41"/>
      <c r="D16" s="46"/>
      <c r="E16" s="32"/>
      <c r="F16" s="48"/>
      <c r="G16" s="41" t="s">
        <v>82</v>
      </c>
      <c r="H16" s="163"/>
    </row>
    <row r="17" spans="2:10" ht="14.4">
      <c r="B17" s="40"/>
      <c r="C17" s="41"/>
      <c r="D17" s="42"/>
      <c r="E17" s="32"/>
      <c r="F17" s="48"/>
      <c r="G17" s="41" t="s">
        <v>83</v>
      </c>
      <c r="H17" s="163"/>
    </row>
    <row r="18" spans="2:10" ht="14.4">
      <c r="B18" s="40"/>
      <c r="C18" s="20"/>
      <c r="D18" s="46"/>
      <c r="E18" s="32"/>
      <c r="F18" s="47"/>
      <c r="G18" s="41"/>
      <c r="H18" s="163"/>
    </row>
    <row r="19" spans="2:10" ht="14.4">
      <c r="B19" s="45"/>
      <c r="C19" s="20"/>
      <c r="D19" s="46"/>
      <c r="E19" s="32"/>
      <c r="F19" s="50"/>
      <c r="G19" s="41"/>
      <c r="H19" s="163"/>
    </row>
    <row r="20" spans="2:10" ht="14.4">
      <c r="B20" s="45"/>
      <c r="C20" s="5"/>
      <c r="D20" s="42"/>
      <c r="E20" s="32"/>
      <c r="F20" s="49"/>
      <c r="G20" s="2"/>
      <c r="H20" s="164"/>
    </row>
    <row r="21" spans="2:10" ht="15.75" customHeight="1">
      <c r="B21" s="45"/>
      <c r="D21" s="42"/>
      <c r="E21" s="32"/>
      <c r="F21" s="50"/>
      <c r="G21" s="41"/>
      <c r="H21" s="163"/>
    </row>
    <row r="22" spans="2:10" ht="15.75" customHeight="1">
      <c r="B22" s="40"/>
      <c r="C22" s="41" t="s">
        <v>85</v>
      </c>
      <c r="D22" s="46"/>
      <c r="E22" s="32"/>
      <c r="F22" s="50"/>
      <c r="G22" s="2"/>
      <c r="H22" s="163"/>
    </row>
    <row r="23" spans="2:10" ht="15.75" customHeight="1">
      <c r="B23" s="40"/>
      <c r="C23" s="41" t="s">
        <v>86</v>
      </c>
      <c r="D23" s="46"/>
      <c r="E23" s="32"/>
      <c r="F23" s="50"/>
      <c r="G23" s="2"/>
      <c r="H23" s="163"/>
    </row>
    <row r="24" spans="2:10" ht="15.75" customHeight="1">
      <c r="B24" s="51"/>
      <c r="C24" s="52" t="s">
        <v>87</v>
      </c>
      <c r="D24" s="53">
        <f>SUM(D13:D20)</f>
        <v>45160.800000000003</v>
      </c>
      <c r="E24" s="32"/>
      <c r="F24" s="54" t="s">
        <v>88</v>
      </c>
      <c r="G24" s="15"/>
      <c r="H24" s="165">
        <f>SUM(H13:H21)</f>
        <v>6793.5167999999994</v>
      </c>
    </row>
    <row r="25" spans="2:10" ht="9" customHeight="1">
      <c r="B25" s="55"/>
      <c r="C25" s="32"/>
      <c r="D25" s="32"/>
      <c r="E25" s="2"/>
      <c r="F25" s="32"/>
      <c r="G25" s="32"/>
      <c r="H25" s="56"/>
    </row>
    <row r="26" spans="2:10" ht="15.75" customHeight="1">
      <c r="B26" s="55"/>
      <c r="C26" s="32"/>
      <c r="D26" s="32"/>
      <c r="E26" s="2"/>
      <c r="F26" s="57" t="s">
        <v>89</v>
      </c>
      <c r="G26" s="58"/>
      <c r="H26" s="153">
        <f>D24-H24</f>
        <v>38367.283200000005</v>
      </c>
    </row>
    <row r="27" spans="2:10" ht="6.75" customHeight="1">
      <c r="B27" s="55"/>
      <c r="C27" s="32"/>
      <c r="D27" s="32"/>
      <c r="E27" s="2"/>
      <c r="F27" s="32"/>
      <c r="G27" s="32"/>
      <c r="H27" s="56"/>
    </row>
    <row r="28" spans="2:10" ht="6.75" customHeight="1">
      <c r="B28" s="55"/>
      <c r="C28" s="308" t="s">
        <v>90</v>
      </c>
      <c r="D28" s="309"/>
      <c r="E28" s="32"/>
      <c r="F28" s="308" t="s">
        <v>91</v>
      </c>
      <c r="G28" s="309"/>
      <c r="H28" s="56"/>
    </row>
    <row r="29" spans="2:10" ht="15.75" customHeight="1">
      <c r="B29" s="55"/>
      <c r="C29" s="310"/>
      <c r="D29" s="311"/>
      <c r="E29" s="32"/>
      <c r="F29" s="310"/>
      <c r="G29" s="311"/>
      <c r="H29" s="56"/>
    </row>
    <row r="30" spans="2:10" ht="15.75" customHeight="1">
      <c r="B30" s="55"/>
      <c r="C30" s="310"/>
      <c r="D30" s="311"/>
      <c r="E30" s="32"/>
      <c r="F30" s="310"/>
      <c r="G30" s="311"/>
      <c r="H30" s="56"/>
      <c r="J30">
        <f>33510-31808</f>
        <v>1702</v>
      </c>
    </row>
    <row r="31" spans="2:10" ht="15.75" customHeight="1">
      <c r="B31" s="55"/>
      <c r="C31" s="312"/>
      <c r="D31" s="313"/>
      <c r="E31" s="32"/>
      <c r="F31" s="312"/>
      <c r="G31" s="313"/>
      <c r="H31" s="56"/>
      <c r="J31">
        <f>10000-1702</f>
        <v>8298</v>
      </c>
    </row>
    <row r="32" spans="2:10" ht="15.75" customHeight="1">
      <c r="B32" s="55"/>
      <c r="C32" s="32"/>
      <c r="D32" s="32"/>
      <c r="E32" s="32"/>
      <c r="F32" s="32"/>
      <c r="G32" s="32"/>
      <c r="H32" s="56"/>
    </row>
    <row r="33" spans="2:8" ht="6" customHeight="1">
      <c r="B33" s="40"/>
      <c r="C33" s="2"/>
      <c r="D33" s="2"/>
      <c r="E33" s="2"/>
      <c r="F33" s="2"/>
      <c r="G33" s="2"/>
      <c r="H33" s="44"/>
    </row>
    <row r="34" spans="2:8" ht="18" customHeight="1">
      <c r="B34" s="40"/>
      <c r="C34" s="20" t="s">
        <v>92</v>
      </c>
      <c r="D34" s="2"/>
      <c r="E34" s="59" t="s">
        <v>93</v>
      </c>
      <c r="F34" s="2"/>
      <c r="G34" s="2"/>
      <c r="H34" s="44"/>
    </row>
    <row r="35" spans="2:8" ht="15.75" customHeight="1">
      <c r="B35" s="60"/>
      <c r="C35" s="61"/>
      <c r="D35" s="61"/>
      <c r="E35" s="61"/>
      <c r="F35" s="61"/>
      <c r="G35" s="61"/>
      <c r="H35" s="62"/>
    </row>
    <row r="36" spans="2:8" ht="15.75" customHeight="1"/>
    <row r="37" spans="2:8" ht="15.75" customHeight="1"/>
    <row r="38" spans="2:8" ht="15.75" customHeight="1"/>
    <row r="39" spans="2:8" ht="15.75" customHeight="1"/>
    <row r="40" spans="2:8" ht="15.75" customHeight="1"/>
    <row r="41" spans="2:8" ht="15.75" customHeight="1" thickBot="1"/>
    <row r="42" spans="2:8" ht="15.75" customHeight="1">
      <c r="B42" s="179" t="s">
        <v>59</v>
      </c>
      <c r="C42" s="180"/>
      <c r="D42" s="180"/>
      <c r="E42" s="180"/>
      <c r="F42" s="180"/>
      <c r="G42" s="180"/>
      <c r="H42" s="181" t="s">
        <v>60</v>
      </c>
    </row>
    <row r="43" spans="2:8" ht="15.75" customHeight="1">
      <c r="B43" s="182" t="s">
        <v>61</v>
      </c>
      <c r="C43" s="183"/>
      <c r="D43" s="183"/>
      <c r="E43" s="183"/>
      <c r="F43" s="183"/>
      <c r="G43" s="183"/>
      <c r="H43" s="184" t="s">
        <v>62</v>
      </c>
    </row>
    <row r="44" spans="2:8" ht="15.75" customHeight="1">
      <c r="B44" s="182" t="s">
        <v>63</v>
      </c>
      <c r="C44" s="183"/>
      <c r="D44" s="183"/>
      <c r="E44" s="183"/>
      <c r="F44" s="183"/>
      <c r="G44" s="183"/>
      <c r="H44" s="184" t="s">
        <v>64</v>
      </c>
    </row>
    <row r="45" spans="2:8" ht="15.75" customHeight="1">
      <c r="B45" s="185" t="s">
        <v>65</v>
      </c>
      <c r="C45" s="15"/>
      <c r="D45" s="15"/>
      <c r="E45" s="15"/>
      <c r="F45" s="15"/>
      <c r="G45" s="15"/>
      <c r="H45" s="186" t="s">
        <v>66</v>
      </c>
    </row>
    <row r="46" spans="2:8" ht="15.75" customHeight="1">
      <c r="B46" s="187" t="s">
        <v>67</v>
      </c>
      <c r="C46" s="171" t="s">
        <v>254</v>
      </c>
      <c r="D46" s="188" t="s">
        <v>16</v>
      </c>
      <c r="E46" s="183"/>
      <c r="F46" s="18"/>
      <c r="G46" s="18"/>
      <c r="H46" s="189" t="s">
        <v>68</v>
      </c>
    </row>
    <row r="47" spans="2:8" ht="15.75" customHeight="1">
      <c r="B47" s="182" t="str">
        <f>Planillas!C5</f>
        <v>3887870-3</v>
      </c>
      <c r="C47" s="190" t="s">
        <v>69</v>
      </c>
      <c r="D47" s="191">
        <f>Planillas!D5</f>
        <v>42350</v>
      </c>
      <c r="E47" s="183"/>
      <c r="F47" s="192"/>
      <c r="G47" s="183"/>
      <c r="H47" s="184" t="s">
        <v>249</v>
      </c>
    </row>
    <row r="48" spans="2:8" ht="15.75" customHeight="1">
      <c r="B48" s="193"/>
      <c r="C48" s="15"/>
      <c r="D48" s="15"/>
      <c r="E48" s="15"/>
      <c r="F48" s="15"/>
      <c r="G48" s="15"/>
      <c r="H48" s="186" t="s">
        <v>70</v>
      </c>
    </row>
    <row r="49" spans="2:8" ht="15.75" customHeight="1">
      <c r="B49" s="194"/>
      <c r="C49" s="195"/>
      <c r="D49" s="25"/>
      <c r="E49" s="26"/>
      <c r="F49" s="27"/>
      <c r="G49" s="195"/>
      <c r="H49" s="196"/>
    </row>
    <row r="50" spans="2:8" ht="15.75" customHeight="1" thickBot="1">
      <c r="B50" s="197"/>
      <c r="C50" s="30" t="s">
        <v>71</v>
      </c>
      <c r="D50" s="31"/>
      <c r="E50" s="32"/>
      <c r="F50" s="33" t="s">
        <v>72</v>
      </c>
      <c r="G50" s="34"/>
      <c r="H50" s="198"/>
    </row>
    <row r="51" spans="2:8" ht="15.75" customHeight="1" thickTop="1">
      <c r="B51" s="199" t="s">
        <v>73</v>
      </c>
      <c r="C51" s="37" t="s">
        <v>74</v>
      </c>
      <c r="D51" s="38" t="s">
        <v>75</v>
      </c>
      <c r="E51" s="32"/>
      <c r="F51" s="39"/>
      <c r="G51" s="37" t="s">
        <v>74</v>
      </c>
      <c r="H51" s="200" t="s">
        <v>75</v>
      </c>
    </row>
    <row r="52" spans="2:8" ht="15.75" customHeight="1">
      <c r="B52" s="172"/>
      <c r="C52" s="201" t="s">
        <v>76</v>
      </c>
      <c r="D52" s="173">
        <f>B56*B57</f>
        <v>22720</v>
      </c>
      <c r="E52" s="32"/>
      <c r="F52" s="43">
        <v>0.15</v>
      </c>
      <c r="G52" s="202" t="s">
        <v>77</v>
      </c>
      <c r="H52" s="203">
        <f>(D$13+D$14)*0.15</f>
        <v>5199.12</v>
      </c>
    </row>
    <row r="53" spans="2:8" ht="15.75" customHeight="1">
      <c r="B53" s="204"/>
      <c r="C53" s="201"/>
      <c r="D53" s="174"/>
      <c r="E53" s="32"/>
      <c r="F53" s="43" t="s">
        <v>79</v>
      </c>
      <c r="G53" s="202" t="s">
        <v>80</v>
      </c>
      <c r="H53" s="203">
        <f>(D$13+D$14)*0.045</f>
        <v>1559.7360000000001</v>
      </c>
    </row>
    <row r="54" spans="2:8" ht="15.75" customHeight="1">
      <c r="B54" s="172"/>
      <c r="C54" s="201"/>
      <c r="D54" s="175"/>
      <c r="E54" s="32"/>
      <c r="F54" s="47">
        <v>0.01</v>
      </c>
      <c r="G54" s="202" t="s">
        <v>81</v>
      </c>
      <c r="H54" s="203">
        <f>(D$13+D$14)*0.001</f>
        <v>34.660800000000002</v>
      </c>
    </row>
    <row r="55" spans="2:8" ht="15.75" customHeight="1">
      <c r="B55" s="172"/>
      <c r="C55" s="202"/>
      <c r="D55" s="46"/>
      <c r="E55" s="32"/>
      <c r="F55" s="48"/>
      <c r="G55" s="202" t="s">
        <v>82</v>
      </c>
      <c r="H55" s="203"/>
    </row>
    <row r="56" spans="2:8" ht="15.75" customHeight="1">
      <c r="B56" s="176">
        <f>Planillas!J5*8</f>
        <v>1136</v>
      </c>
      <c r="C56" s="177" t="s">
        <v>246</v>
      </c>
      <c r="D56" s="42"/>
      <c r="E56" s="32"/>
      <c r="F56" s="48"/>
      <c r="G56" s="202" t="s">
        <v>83</v>
      </c>
      <c r="H56" s="203"/>
    </row>
    <row r="57" spans="2:8" ht="15.75" customHeight="1">
      <c r="B57" s="176">
        <f>Planillas!C22/8</f>
        <v>20</v>
      </c>
      <c r="C57" s="177" t="s">
        <v>255</v>
      </c>
      <c r="D57" s="46"/>
      <c r="E57" s="32"/>
      <c r="F57" s="47"/>
      <c r="G57" s="202"/>
      <c r="H57" s="203"/>
    </row>
    <row r="58" spans="2:8" ht="15.75" customHeight="1">
      <c r="B58" s="205"/>
      <c r="C58" s="178"/>
      <c r="D58" s="46"/>
      <c r="E58" s="32"/>
      <c r="F58" s="50"/>
      <c r="G58" s="202"/>
      <c r="H58" s="203"/>
    </row>
    <row r="59" spans="2:8" ht="15.75" customHeight="1">
      <c r="B59" s="204"/>
      <c r="C59" s="206"/>
      <c r="D59" s="42"/>
      <c r="E59" s="32"/>
      <c r="F59" s="49"/>
      <c r="G59" s="183"/>
      <c r="H59" s="207"/>
    </row>
    <row r="60" spans="2:8" ht="15.75" customHeight="1">
      <c r="B60" s="204"/>
      <c r="C60" s="208"/>
      <c r="D60" s="42"/>
      <c r="E60" s="32"/>
      <c r="F60" s="50"/>
      <c r="G60" s="202"/>
      <c r="H60" s="203"/>
    </row>
    <row r="61" spans="2:8" ht="15.75" customHeight="1">
      <c r="B61" s="172"/>
      <c r="C61" s="202" t="s">
        <v>85</v>
      </c>
      <c r="D61" s="46"/>
      <c r="E61" s="32"/>
      <c r="F61" s="50"/>
      <c r="G61" s="183"/>
      <c r="H61" s="203"/>
    </row>
    <row r="62" spans="2:8" ht="15.75" customHeight="1">
      <c r="B62" s="172"/>
      <c r="C62" s="202" t="s">
        <v>86</v>
      </c>
      <c r="D62" s="46"/>
      <c r="E62" s="32"/>
      <c r="F62" s="50"/>
      <c r="G62" s="183"/>
      <c r="H62" s="203"/>
    </row>
    <row r="63" spans="2:8" ht="15.75" customHeight="1">
      <c r="B63" s="209"/>
      <c r="C63" s="52" t="s">
        <v>87</v>
      </c>
      <c r="D63" s="53">
        <f>SUM(D52:D59)</f>
        <v>22720</v>
      </c>
      <c r="E63" s="32"/>
      <c r="F63" s="54" t="s">
        <v>88</v>
      </c>
      <c r="G63" s="15"/>
      <c r="H63" s="210">
        <f>SUM(H52:H60)</f>
        <v>6793.5167999999994</v>
      </c>
    </row>
    <row r="64" spans="2:8" ht="15.75" customHeight="1">
      <c r="B64" s="211"/>
      <c r="C64" s="32"/>
      <c r="D64" s="32"/>
      <c r="E64" s="183"/>
      <c r="F64" s="32"/>
      <c r="G64" s="32"/>
      <c r="H64" s="212"/>
    </row>
    <row r="65" spans="2:8" ht="15.75" customHeight="1">
      <c r="B65" s="211"/>
      <c r="C65" s="32"/>
      <c r="D65" s="32"/>
      <c r="E65" s="183"/>
      <c r="F65" s="213" t="s">
        <v>89</v>
      </c>
      <c r="G65" s="214"/>
      <c r="H65" s="215">
        <f>D63-H63</f>
        <v>15926.483200000001</v>
      </c>
    </row>
    <row r="66" spans="2:8" ht="15.75" customHeight="1">
      <c r="B66" s="211"/>
      <c r="C66" s="32"/>
      <c r="D66" s="32"/>
      <c r="E66" s="183"/>
      <c r="F66" s="32"/>
      <c r="G66" s="32"/>
      <c r="H66" s="212"/>
    </row>
    <row r="67" spans="2:8" ht="15.75" customHeight="1">
      <c r="B67" s="211"/>
      <c r="C67" s="308" t="s">
        <v>90</v>
      </c>
      <c r="D67" s="309"/>
      <c r="E67" s="32"/>
      <c r="F67" s="308" t="s">
        <v>91</v>
      </c>
      <c r="G67" s="309"/>
      <c r="H67" s="212"/>
    </row>
    <row r="68" spans="2:8" ht="15.75" customHeight="1">
      <c r="B68" s="211"/>
      <c r="C68" s="310"/>
      <c r="D68" s="311"/>
      <c r="E68" s="32"/>
      <c r="F68" s="310"/>
      <c r="G68" s="311"/>
      <c r="H68" s="212"/>
    </row>
    <row r="69" spans="2:8" ht="15.75" customHeight="1">
      <c r="B69" s="211"/>
      <c r="C69" s="310"/>
      <c r="D69" s="311"/>
      <c r="E69" s="32"/>
      <c r="F69" s="310"/>
      <c r="G69" s="311"/>
      <c r="H69" s="212"/>
    </row>
    <row r="70" spans="2:8" ht="15.75" customHeight="1">
      <c r="B70" s="211"/>
      <c r="C70" s="312"/>
      <c r="D70" s="313"/>
      <c r="E70" s="32"/>
      <c r="F70" s="312"/>
      <c r="G70" s="313"/>
      <c r="H70" s="212"/>
    </row>
    <row r="71" spans="2:8" ht="15.75" customHeight="1">
      <c r="B71" s="211"/>
      <c r="C71" s="32"/>
      <c r="D71" s="32"/>
      <c r="E71" s="32"/>
      <c r="F71" s="32"/>
      <c r="G71" s="32"/>
      <c r="H71" s="212"/>
    </row>
    <row r="72" spans="2:8" ht="15.75" customHeight="1">
      <c r="B72" s="172"/>
      <c r="C72" s="183"/>
      <c r="D72" s="183"/>
      <c r="E72" s="183"/>
      <c r="F72" s="183"/>
      <c r="G72" s="183"/>
      <c r="H72" s="216"/>
    </row>
    <row r="73" spans="2:8" ht="15.75" customHeight="1">
      <c r="B73" s="172"/>
      <c r="C73" s="190" t="s">
        <v>92</v>
      </c>
      <c r="D73" s="183"/>
      <c r="E73" s="217" t="s">
        <v>93</v>
      </c>
      <c r="F73" s="183"/>
      <c r="G73" s="183"/>
      <c r="H73" s="216"/>
    </row>
    <row r="74" spans="2:8" ht="15.75" customHeight="1" thickBot="1">
      <c r="B74" s="218"/>
      <c r="C74" s="219"/>
      <c r="D74" s="219"/>
      <c r="E74" s="219"/>
      <c r="F74" s="219"/>
      <c r="G74" s="219"/>
      <c r="H74" s="220"/>
    </row>
    <row r="75" spans="2:8" ht="15.75" customHeight="1"/>
    <row r="76" spans="2:8" ht="15.75" customHeight="1"/>
    <row r="77" spans="2:8" ht="15.75" customHeight="1"/>
    <row r="78" spans="2:8" ht="15.75" customHeight="1"/>
    <row r="79" spans="2:8" ht="15.75" customHeight="1"/>
    <row r="80" spans="2:8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C28:D31"/>
    <mergeCell ref="F28:G31"/>
    <mergeCell ref="C67:D70"/>
    <mergeCell ref="F67:G70"/>
  </mergeCells>
  <pageMargins left="0.7" right="0.7" top="0.75" bottom="0.75" header="0" footer="0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topLeftCell="A37" workbookViewId="0">
      <selection activeCell="A50" sqref="A50:K54"/>
    </sheetView>
  </sheetViews>
  <sheetFormatPr baseColWidth="10" defaultColWidth="14.44140625" defaultRowHeight="15" customHeight="1"/>
  <cols>
    <col min="1" max="1" width="18.6640625" customWidth="1"/>
    <col min="2" max="6" width="10.6640625" customWidth="1"/>
    <col min="7" max="7" width="21.109375" customWidth="1"/>
    <col min="8" max="8" width="10.6640625" customWidth="1"/>
    <col min="9" max="9" width="11.88671875" customWidth="1"/>
    <col min="10" max="12" width="10.6640625" customWidth="1"/>
    <col min="13" max="13" width="23.109375" customWidth="1"/>
    <col min="14" max="14" width="10.6640625" customWidth="1"/>
    <col min="15" max="15" width="14" customWidth="1"/>
    <col min="16" max="26" width="10.6640625" customWidth="1"/>
  </cols>
  <sheetData>
    <row r="1" spans="1:26" ht="14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 t="s">
        <v>94</v>
      </c>
      <c r="N2" s="2">
        <v>125.1</v>
      </c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4">
      <c r="A3" s="65" t="s">
        <v>95</v>
      </c>
      <c r="B3" s="66"/>
      <c r="C3" s="66"/>
      <c r="D3" s="66"/>
      <c r="E3" s="66"/>
      <c r="F3" s="66"/>
      <c r="G3" s="66"/>
      <c r="H3" s="66"/>
      <c r="I3" s="66"/>
      <c r="J3" s="66"/>
      <c r="K3" s="67"/>
      <c r="M3" s="68" t="s">
        <v>96</v>
      </c>
      <c r="N3" s="69">
        <v>208</v>
      </c>
      <c r="O3" s="70">
        <f>N3*N2</f>
        <v>26020.799999999999</v>
      </c>
      <c r="Q3" s="71" t="s">
        <v>97</v>
      </c>
      <c r="R3" s="72"/>
    </row>
    <row r="4" spans="1:26" ht="14.4">
      <c r="A4" s="73"/>
      <c r="B4" s="74"/>
      <c r="C4" s="74"/>
      <c r="D4" s="74"/>
      <c r="E4" s="74"/>
      <c r="F4" s="74"/>
      <c r="G4" s="74"/>
      <c r="H4" s="74"/>
      <c r="I4" s="74"/>
      <c r="J4" s="74"/>
      <c r="K4" s="75"/>
      <c r="M4" s="76" t="s">
        <v>98</v>
      </c>
      <c r="N4" s="69">
        <v>20</v>
      </c>
      <c r="O4" s="70">
        <f>N4*25</f>
        <v>500</v>
      </c>
      <c r="Q4" s="40"/>
      <c r="R4" s="44"/>
    </row>
    <row r="5" spans="1:26" ht="14.4">
      <c r="A5" s="77" t="s">
        <v>99</v>
      </c>
      <c r="B5" s="74"/>
      <c r="C5" s="74"/>
      <c r="D5" s="78" t="s">
        <v>100</v>
      </c>
      <c r="E5" s="74"/>
      <c r="F5" s="74"/>
      <c r="G5" s="74"/>
      <c r="H5" s="74"/>
      <c r="I5" s="74"/>
      <c r="J5" s="74"/>
      <c r="K5" s="75"/>
      <c r="M5" s="76" t="s">
        <v>101</v>
      </c>
      <c r="N5" s="69">
        <v>32</v>
      </c>
      <c r="O5" s="70">
        <f>N5*N2*2</f>
        <v>8006.4</v>
      </c>
      <c r="Q5" s="79">
        <f>O10</f>
        <v>39678</v>
      </c>
      <c r="R5" s="44"/>
    </row>
    <row r="6" spans="1:26" ht="14.4">
      <c r="A6" s="73"/>
      <c r="B6" s="74"/>
      <c r="C6" s="74"/>
      <c r="D6" s="74"/>
      <c r="E6" s="74"/>
      <c r="F6" s="74"/>
      <c r="G6" s="74"/>
      <c r="H6" s="74"/>
      <c r="I6" s="74"/>
      <c r="J6" s="74"/>
      <c r="K6" s="75"/>
      <c r="M6" s="76" t="s">
        <v>102</v>
      </c>
      <c r="N6" s="69">
        <v>16</v>
      </c>
      <c r="O6" s="70">
        <f>N6*N2*2*25%</f>
        <v>1000.8</v>
      </c>
      <c r="Q6" s="40">
        <f>4519*7</f>
        <v>31633</v>
      </c>
      <c r="R6" s="44">
        <v>0</v>
      </c>
    </row>
    <row r="7" spans="1:26" ht="14.4">
      <c r="A7" s="77" t="s">
        <v>103</v>
      </c>
      <c r="B7" s="74"/>
      <c r="C7" s="74"/>
      <c r="D7" s="74"/>
      <c r="E7" s="74"/>
      <c r="F7" s="74"/>
      <c r="G7" s="74"/>
      <c r="H7" s="74"/>
      <c r="I7" s="74"/>
      <c r="J7" s="74"/>
      <c r="K7" s="75"/>
      <c r="M7" s="76" t="s">
        <v>104</v>
      </c>
      <c r="N7" s="69">
        <v>1</v>
      </c>
      <c r="O7" s="70">
        <v>1050</v>
      </c>
      <c r="Q7" s="80">
        <f>Q5-Q6</f>
        <v>8045</v>
      </c>
      <c r="R7" s="81">
        <f>Q7*0.1</f>
        <v>804.5</v>
      </c>
    </row>
    <row r="8" spans="1:26" ht="14.4">
      <c r="A8" s="77" t="s">
        <v>105</v>
      </c>
      <c r="B8" s="74"/>
      <c r="C8" s="74"/>
      <c r="D8" s="74"/>
      <c r="E8" s="74"/>
      <c r="F8" s="74"/>
      <c r="G8" s="74"/>
      <c r="H8" s="74"/>
      <c r="I8" s="74"/>
      <c r="J8" s="74"/>
      <c r="K8" s="75"/>
      <c r="M8" s="82" t="s">
        <v>106</v>
      </c>
      <c r="N8" s="69">
        <v>1</v>
      </c>
      <c r="O8" s="70">
        <v>3100</v>
      </c>
      <c r="Q8" s="79"/>
      <c r="R8" s="44">
        <v>805</v>
      </c>
    </row>
    <row r="9" spans="1:26" ht="14.4">
      <c r="A9" s="77" t="s">
        <v>107</v>
      </c>
      <c r="B9" s="74"/>
      <c r="C9" s="74"/>
      <c r="D9" s="74"/>
      <c r="E9" s="74"/>
      <c r="F9" s="74"/>
      <c r="G9" s="74"/>
      <c r="H9" s="74"/>
      <c r="I9" s="74"/>
      <c r="J9" s="74"/>
      <c r="K9" s="75"/>
      <c r="Q9" s="79">
        <f>O13</f>
        <v>7571.0880000000006</v>
      </c>
      <c r="R9" s="81">
        <f>Q9*0.1</f>
        <v>757.10880000000009</v>
      </c>
    </row>
    <row r="10" spans="1:26" ht="14.4">
      <c r="A10" s="77" t="s">
        <v>108</v>
      </c>
      <c r="B10" s="74"/>
      <c r="C10" s="74"/>
      <c r="D10" s="74"/>
      <c r="E10" s="74"/>
      <c r="F10" s="74"/>
      <c r="G10" s="74"/>
      <c r="H10" s="74"/>
      <c r="I10" s="74"/>
      <c r="J10" s="74"/>
      <c r="K10" s="75"/>
      <c r="M10" s="64" t="s">
        <v>109</v>
      </c>
      <c r="O10" s="70">
        <f>SUM(O3:O8)</f>
        <v>39678</v>
      </c>
      <c r="Q10" s="60"/>
      <c r="R10" s="83">
        <f>R8-R9</f>
        <v>47.891199999999913</v>
      </c>
    </row>
    <row r="11" spans="1:26" ht="14.4">
      <c r="A11" s="77" t="s">
        <v>110</v>
      </c>
      <c r="B11" s="74"/>
      <c r="C11" s="74"/>
      <c r="D11" s="74"/>
      <c r="E11" s="74"/>
      <c r="F11" s="74"/>
      <c r="G11" s="74"/>
      <c r="H11" s="74"/>
      <c r="I11" s="74"/>
      <c r="J11" s="74"/>
      <c r="K11" s="75"/>
    </row>
    <row r="12" spans="1:26" ht="14.4">
      <c r="A12" s="73"/>
      <c r="B12" s="74"/>
      <c r="C12" s="74"/>
      <c r="D12" s="74"/>
      <c r="E12" s="74"/>
      <c r="F12" s="74"/>
      <c r="G12" s="74"/>
      <c r="H12" s="74"/>
      <c r="I12" s="74"/>
      <c r="J12" s="74"/>
      <c r="K12" s="75"/>
      <c r="M12" s="64" t="s">
        <v>111</v>
      </c>
      <c r="O12" s="70">
        <f>O3+O4+O5+O6+O8</f>
        <v>38628</v>
      </c>
      <c r="Q12" s="2"/>
    </row>
    <row r="13" spans="1:26" ht="14.4">
      <c r="A13" s="77" t="s">
        <v>112</v>
      </c>
      <c r="B13" s="74"/>
      <c r="C13" s="74"/>
      <c r="D13" s="74"/>
      <c r="E13" s="74"/>
      <c r="F13" s="74"/>
      <c r="G13" s="74"/>
      <c r="H13" s="74"/>
      <c r="I13" s="74"/>
      <c r="J13" s="74"/>
      <c r="K13" s="75"/>
      <c r="L13" s="69">
        <v>19.600000000000001</v>
      </c>
      <c r="M13" s="2" t="s">
        <v>113</v>
      </c>
      <c r="O13" s="84">
        <f>O12*0.196</f>
        <v>7571.0880000000006</v>
      </c>
    </row>
    <row r="14" spans="1:26" ht="14.4">
      <c r="A14" s="73"/>
      <c r="B14" s="74"/>
      <c r="C14" s="74"/>
      <c r="D14" s="74"/>
      <c r="E14" s="74"/>
      <c r="F14" s="74"/>
      <c r="G14" s="74"/>
      <c r="H14" s="74"/>
      <c r="I14" s="74"/>
      <c r="J14" s="74"/>
      <c r="K14" s="75"/>
      <c r="M14" s="64" t="s">
        <v>114</v>
      </c>
      <c r="N14" s="2"/>
      <c r="O14" s="84">
        <v>48</v>
      </c>
    </row>
    <row r="15" spans="1:26" ht="14.4">
      <c r="A15" s="85" t="s">
        <v>115</v>
      </c>
      <c r="B15" s="86"/>
      <c r="C15" s="86"/>
      <c r="D15" s="86"/>
      <c r="E15" s="86"/>
      <c r="F15" s="86"/>
      <c r="G15" s="86"/>
      <c r="H15" s="86"/>
      <c r="I15" s="86"/>
      <c r="J15" s="86"/>
      <c r="K15" s="87"/>
      <c r="M15" s="88" t="s">
        <v>116</v>
      </c>
      <c r="N15" s="58"/>
      <c r="O15" s="89">
        <f>O12-O13-O14+O7</f>
        <v>32058.912</v>
      </c>
    </row>
    <row r="16" spans="1:26" ht="14.4">
      <c r="A16" s="90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</row>
    <row r="17" spans="1:19" ht="14.4">
      <c r="A17" s="91" t="s">
        <v>117</v>
      </c>
      <c r="B17" s="92"/>
      <c r="C17" s="92"/>
      <c r="D17" s="92"/>
      <c r="E17" s="92"/>
      <c r="F17" s="92"/>
      <c r="G17" s="92"/>
      <c r="H17" s="92"/>
      <c r="I17" s="92"/>
      <c r="J17" s="92"/>
      <c r="K17" s="93"/>
      <c r="M17" s="64" t="s">
        <v>118</v>
      </c>
      <c r="N17" s="69">
        <v>45000</v>
      </c>
    </row>
    <row r="18" spans="1:19" ht="14.4">
      <c r="A18" s="94"/>
      <c r="B18" s="95"/>
      <c r="C18" s="95"/>
      <c r="D18" s="95"/>
      <c r="E18" s="95"/>
      <c r="F18" s="95"/>
      <c r="G18" s="95"/>
      <c r="H18" s="95"/>
      <c r="I18" s="95"/>
      <c r="J18" s="95"/>
      <c r="K18" s="96"/>
      <c r="M18" s="64" t="s">
        <v>119</v>
      </c>
      <c r="N18" s="69">
        <f>N17/30</f>
        <v>1500</v>
      </c>
    </row>
    <row r="19" spans="1:19" ht="14.4">
      <c r="A19" s="77" t="s">
        <v>120</v>
      </c>
      <c r="B19" s="95"/>
      <c r="C19" s="95"/>
      <c r="D19" s="95"/>
      <c r="E19" s="95"/>
      <c r="F19" s="95"/>
      <c r="G19" s="95"/>
      <c r="H19" s="95"/>
      <c r="I19" s="95"/>
      <c r="J19" s="95"/>
      <c r="K19" s="96"/>
      <c r="M19" s="68" t="s">
        <v>121</v>
      </c>
      <c r="O19" s="69">
        <v>10500</v>
      </c>
      <c r="Q19" s="71" t="s">
        <v>97</v>
      </c>
      <c r="R19" s="72"/>
    </row>
    <row r="20" spans="1:19" ht="14.4">
      <c r="A20" s="77" t="s">
        <v>122</v>
      </c>
      <c r="B20" s="95"/>
      <c r="C20" s="95"/>
      <c r="D20" s="95"/>
      <c r="E20" s="95"/>
      <c r="F20" s="95"/>
      <c r="G20" s="95"/>
      <c r="H20" s="95"/>
      <c r="I20" s="95"/>
      <c r="J20" s="95"/>
      <c r="K20" s="96"/>
      <c r="M20" s="82" t="s">
        <v>123</v>
      </c>
      <c r="N20" s="69">
        <v>5</v>
      </c>
      <c r="O20" s="97">
        <f>N18*N20</f>
        <v>7500</v>
      </c>
      <c r="Q20" s="40"/>
      <c r="R20" s="44"/>
    </row>
    <row r="21" spans="1:19" ht="15.75" customHeight="1">
      <c r="A21" s="77" t="s">
        <v>124</v>
      </c>
      <c r="B21" s="95"/>
      <c r="C21" s="95"/>
      <c r="D21" s="95"/>
      <c r="E21" s="95"/>
      <c r="F21" s="95"/>
      <c r="G21" s="95"/>
      <c r="H21" s="95"/>
      <c r="I21" s="95"/>
      <c r="J21" s="95"/>
      <c r="K21" s="96"/>
      <c r="Q21" s="79">
        <f>O24*1.06</f>
        <v>50880</v>
      </c>
      <c r="R21" s="44"/>
    </row>
    <row r="22" spans="1:19" ht="15.75" customHeight="1">
      <c r="A22" s="94"/>
      <c r="B22" s="95"/>
      <c r="C22" s="95"/>
      <c r="D22" s="95"/>
      <c r="E22" s="95"/>
      <c r="F22" s="95"/>
      <c r="G22" s="95"/>
      <c r="H22" s="95"/>
      <c r="I22" s="95"/>
      <c r="J22" s="95"/>
      <c r="K22" s="96"/>
      <c r="M22" s="64" t="s">
        <v>109</v>
      </c>
      <c r="O22" s="69">
        <f>N17+O19-O20</f>
        <v>48000</v>
      </c>
      <c r="Q22" s="40">
        <f>4519*7</f>
        <v>31633</v>
      </c>
      <c r="R22" s="44">
        <v>0</v>
      </c>
    </row>
    <row r="23" spans="1:19" ht="15.75" customHeight="1">
      <c r="A23" s="77" t="s">
        <v>125</v>
      </c>
      <c r="B23" s="95"/>
      <c r="C23" s="95"/>
      <c r="D23" s="95"/>
      <c r="E23" s="95"/>
      <c r="F23" s="95"/>
      <c r="G23" s="95"/>
      <c r="H23" s="95"/>
      <c r="I23" s="95"/>
      <c r="J23" s="95"/>
      <c r="K23" s="96"/>
      <c r="Q23" s="40">
        <f>4519*3</f>
        <v>13557</v>
      </c>
      <c r="R23" s="44">
        <f>Q23*0.1</f>
        <v>1355.7</v>
      </c>
    </row>
    <row r="24" spans="1:19" ht="15.75" customHeight="1">
      <c r="A24" s="94"/>
      <c r="B24" s="95"/>
      <c r="C24" s="95"/>
      <c r="D24" s="95"/>
      <c r="E24" s="95"/>
      <c r="F24" s="95"/>
      <c r="G24" s="95"/>
      <c r="H24" s="95"/>
      <c r="I24" s="95"/>
      <c r="J24" s="95"/>
      <c r="K24" s="96"/>
      <c r="M24" s="64" t="s">
        <v>111</v>
      </c>
      <c r="O24" s="69">
        <f>O22</f>
        <v>48000</v>
      </c>
      <c r="Q24" s="80">
        <f>Q21-Q22-Q23</f>
        <v>5690</v>
      </c>
      <c r="R24" s="81">
        <f>Q24*0.15</f>
        <v>853.5</v>
      </c>
    </row>
    <row r="25" spans="1:19" ht="15.75" customHeight="1">
      <c r="A25" s="85" t="s">
        <v>126</v>
      </c>
      <c r="B25" s="98"/>
      <c r="C25" s="98"/>
      <c r="D25" s="98"/>
      <c r="E25" s="98"/>
      <c r="F25" s="98"/>
      <c r="G25" s="98"/>
      <c r="H25" s="98"/>
      <c r="I25" s="98"/>
      <c r="J25" s="98"/>
      <c r="K25" s="99"/>
      <c r="L25" s="69">
        <v>21.1</v>
      </c>
      <c r="M25" s="2" t="s">
        <v>113</v>
      </c>
      <c r="O25" s="97">
        <f>O24*0.211</f>
        <v>10128</v>
      </c>
      <c r="Q25" s="79"/>
      <c r="R25" s="81">
        <f>R23+R24</f>
        <v>2209.1999999999998</v>
      </c>
    </row>
    <row r="26" spans="1:19" ht="15.75" customHeight="1">
      <c r="M26" s="64" t="s">
        <v>114</v>
      </c>
      <c r="O26" s="97">
        <v>952</v>
      </c>
      <c r="P26" s="70"/>
      <c r="Q26" s="79">
        <f>O25+2448</f>
        <v>12576</v>
      </c>
      <c r="R26" s="81">
        <f>Q26*0.1</f>
        <v>1257.6000000000001</v>
      </c>
    </row>
    <row r="27" spans="1:19" ht="15.75" customHeight="1">
      <c r="M27" s="58" t="s">
        <v>116</v>
      </c>
      <c r="O27" s="58">
        <f>O24-O25-O26</f>
        <v>36920</v>
      </c>
      <c r="Q27" s="60"/>
      <c r="R27" s="83">
        <f>R25-R26</f>
        <v>951.59999999999968</v>
      </c>
    </row>
    <row r="28" spans="1:19" ht="15.75" customHeight="1">
      <c r="A28" s="90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</row>
    <row r="29" spans="1:19" ht="15.75" customHeight="1">
      <c r="A29" s="100" t="s">
        <v>127</v>
      </c>
      <c r="B29" s="92"/>
      <c r="C29" s="92"/>
      <c r="D29" s="92"/>
      <c r="E29" s="92"/>
      <c r="F29" s="92"/>
      <c r="G29" s="92"/>
      <c r="H29" s="92"/>
      <c r="I29" s="92"/>
      <c r="J29" s="92"/>
      <c r="K29" s="93"/>
      <c r="M29" s="2" t="s">
        <v>94</v>
      </c>
      <c r="N29" s="69">
        <v>99.08</v>
      </c>
    </row>
    <row r="30" spans="1:19" ht="15.75" customHeight="1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6"/>
    </row>
    <row r="31" spans="1:19" ht="15.75" customHeight="1">
      <c r="A31" s="77" t="s">
        <v>128</v>
      </c>
      <c r="B31" s="95"/>
      <c r="C31" s="95"/>
      <c r="D31" s="95"/>
      <c r="E31" s="78" t="s">
        <v>129</v>
      </c>
      <c r="F31" s="95"/>
      <c r="G31" s="95"/>
      <c r="H31" s="95"/>
      <c r="I31" s="95"/>
      <c r="J31" s="95"/>
      <c r="K31" s="96"/>
      <c r="M31" s="101" t="s">
        <v>96</v>
      </c>
      <c r="N31" s="69">
        <v>150</v>
      </c>
      <c r="O31" s="69">
        <f>N31*N29</f>
        <v>14862</v>
      </c>
    </row>
    <row r="32" spans="1:19" ht="15.75" customHeight="1">
      <c r="A32" s="77" t="s">
        <v>130</v>
      </c>
      <c r="B32" s="95"/>
      <c r="C32" s="95"/>
      <c r="D32" s="95"/>
      <c r="E32" s="95"/>
      <c r="F32" s="95"/>
      <c r="G32" s="95"/>
      <c r="H32" s="95"/>
      <c r="I32" s="95"/>
      <c r="J32" s="95"/>
      <c r="K32" s="96"/>
      <c r="M32" s="102" t="s">
        <v>101</v>
      </c>
      <c r="N32" s="69">
        <v>7</v>
      </c>
      <c r="O32" s="69">
        <f>N32*N29*2</f>
        <v>1387.12</v>
      </c>
    </row>
    <row r="33" spans="1:19" ht="15.75" customHeight="1">
      <c r="A33" s="77" t="s">
        <v>131</v>
      </c>
      <c r="B33" s="95"/>
      <c r="C33" s="95"/>
      <c r="D33" s="95"/>
      <c r="E33" s="95"/>
      <c r="F33" s="95"/>
      <c r="G33" s="95"/>
      <c r="H33" s="95"/>
      <c r="I33" s="95"/>
      <c r="J33" s="95"/>
      <c r="K33" s="96"/>
      <c r="M33" s="102" t="s">
        <v>132</v>
      </c>
      <c r="N33" s="69">
        <v>150</v>
      </c>
      <c r="O33" s="69">
        <f>O31*0.2</f>
        <v>2972.4</v>
      </c>
    </row>
    <row r="34" spans="1:19" ht="15.75" customHeight="1">
      <c r="A34" s="77" t="s">
        <v>133</v>
      </c>
      <c r="B34" s="95"/>
      <c r="C34" s="95"/>
      <c r="D34" s="95"/>
      <c r="E34" s="95"/>
      <c r="F34" s="95"/>
      <c r="G34" s="95"/>
      <c r="H34" s="95"/>
      <c r="I34" s="95"/>
      <c r="J34" s="95"/>
      <c r="K34" s="96"/>
      <c r="M34" s="102" t="s">
        <v>104</v>
      </c>
      <c r="N34" s="69">
        <v>1</v>
      </c>
      <c r="O34" s="69">
        <v>547</v>
      </c>
    </row>
    <row r="35" spans="1:19" ht="15.75" customHeight="1">
      <c r="A35" s="77" t="s">
        <v>134</v>
      </c>
      <c r="B35" s="95"/>
      <c r="C35" s="95"/>
      <c r="D35" s="95"/>
      <c r="E35" s="95"/>
      <c r="F35" s="95"/>
      <c r="G35" s="95"/>
      <c r="H35" s="95"/>
      <c r="I35" s="95"/>
      <c r="J35" s="95"/>
      <c r="K35" s="96"/>
      <c r="M35" s="102" t="s">
        <v>135</v>
      </c>
      <c r="N35" s="69">
        <v>1</v>
      </c>
      <c r="O35" s="69">
        <f>N29*8</f>
        <v>792.64</v>
      </c>
    </row>
    <row r="36" spans="1:19" ht="15.75" customHeight="1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6"/>
      <c r="M36" s="102" t="s">
        <v>136</v>
      </c>
      <c r="N36" s="69">
        <v>20</v>
      </c>
      <c r="O36" s="69">
        <f>O35+250</f>
        <v>1042.6399999999999</v>
      </c>
      <c r="P36" s="70">
        <f t="shared" ref="P36:P37" si="0">O36*N36</f>
        <v>20852.799999999996</v>
      </c>
    </row>
    <row r="37" spans="1:19" ht="15.75" customHeight="1">
      <c r="A37" s="77" t="s">
        <v>137</v>
      </c>
      <c r="B37" s="95"/>
      <c r="C37" s="95"/>
      <c r="D37" s="95"/>
      <c r="E37" s="95"/>
      <c r="F37" s="95"/>
      <c r="G37" s="95"/>
      <c r="H37" s="95"/>
      <c r="I37" s="95"/>
      <c r="J37" s="95"/>
      <c r="K37" s="96"/>
      <c r="M37" s="103" t="s">
        <v>138</v>
      </c>
      <c r="N37" s="2">
        <v>20</v>
      </c>
      <c r="O37" s="70">
        <f>O36-N38</f>
        <v>838.28255999999988</v>
      </c>
      <c r="P37" s="70">
        <f t="shared" si="0"/>
        <v>16765.651199999997</v>
      </c>
    </row>
    <row r="38" spans="1:19" ht="15.75" customHeight="1">
      <c r="A38" s="77" t="s">
        <v>139</v>
      </c>
      <c r="B38" s="95"/>
      <c r="C38" s="95"/>
      <c r="D38" s="95"/>
      <c r="E38" s="95"/>
      <c r="F38" s="95"/>
      <c r="G38" s="95"/>
      <c r="H38" s="95"/>
      <c r="I38" s="95"/>
      <c r="J38" s="95"/>
      <c r="K38" s="96"/>
      <c r="M38" s="104" t="s">
        <v>140</v>
      </c>
      <c r="N38" s="105">
        <f>O36*0.196</f>
        <v>204.35744</v>
      </c>
    </row>
    <row r="39" spans="1:19" ht="15.75" customHeight="1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6"/>
    </row>
    <row r="40" spans="1:19" ht="15.75" customHeight="1">
      <c r="A40" s="85" t="s">
        <v>141</v>
      </c>
      <c r="B40" s="98"/>
      <c r="C40" s="98"/>
      <c r="D40" s="98"/>
      <c r="E40" s="98"/>
      <c r="F40" s="98"/>
      <c r="G40" s="98"/>
      <c r="H40" s="98"/>
      <c r="I40" s="98"/>
      <c r="J40" s="98"/>
      <c r="K40" s="99"/>
      <c r="O40" s="106" t="s">
        <v>142</v>
      </c>
      <c r="P40" s="107">
        <f>O31+O32+O33+O34+O35</f>
        <v>20561.16</v>
      </c>
    </row>
    <row r="41" spans="1:19" ht="15.75" customHeight="1">
      <c r="A41" s="90"/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</row>
    <row r="42" spans="1:19" ht="15.75" customHeight="1">
      <c r="A42" s="100" t="s">
        <v>143</v>
      </c>
      <c r="B42" s="92"/>
      <c r="C42" s="92"/>
      <c r="D42" s="92"/>
      <c r="E42" s="92"/>
      <c r="F42" s="92"/>
      <c r="G42" s="92"/>
      <c r="H42" s="92"/>
      <c r="I42" s="92"/>
      <c r="J42" s="92"/>
      <c r="K42" s="93"/>
      <c r="M42" s="68" t="s">
        <v>144</v>
      </c>
      <c r="N42" s="69">
        <v>50000</v>
      </c>
      <c r="O42" s="108">
        <f>N42/30</f>
        <v>1666.6666666666667</v>
      </c>
    </row>
    <row r="43" spans="1:19" ht="15.75" customHeight="1">
      <c r="A43" s="77" t="s">
        <v>145</v>
      </c>
      <c r="B43" s="95"/>
      <c r="C43" s="95"/>
      <c r="D43" s="95"/>
      <c r="E43" s="95"/>
      <c r="F43" s="95"/>
      <c r="G43" s="95"/>
      <c r="H43" s="95"/>
      <c r="I43" s="95"/>
      <c r="J43" s="95"/>
      <c r="K43" s="96"/>
      <c r="M43" s="76" t="s">
        <v>146</v>
      </c>
      <c r="N43" s="97">
        <v>-26667</v>
      </c>
      <c r="O43" s="109"/>
    </row>
    <row r="44" spans="1:19" ht="15.75" customHeight="1">
      <c r="A44" s="77" t="s">
        <v>147</v>
      </c>
      <c r="B44" s="95"/>
      <c r="C44" s="95"/>
      <c r="D44" s="95"/>
      <c r="E44" s="95"/>
      <c r="F44" s="95"/>
      <c r="G44" s="95"/>
      <c r="H44" s="95"/>
      <c r="I44" s="95"/>
      <c r="J44" s="95"/>
      <c r="K44" s="96"/>
      <c r="M44" s="76" t="s">
        <v>104</v>
      </c>
      <c r="N44" s="69">
        <v>5000</v>
      </c>
      <c r="O44" s="69">
        <v>5000</v>
      </c>
    </row>
    <row r="45" spans="1:19" ht="15.75" customHeight="1">
      <c r="A45" s="85" t="s">
        <v>148</v>
      </c>
      <c r="B45" s="98"/>
      <c r="C45" s="98"/>
      <c r="D45" s="98"/>
      <c r="E45" s="98"/>
      <c r="F45" s="98"/>
      <c r="G45" s="98"/>
      <c r="H45" s="98"/>
      <c r="I45" s="98"/>
      <c r="J45" s="98"/>
      <c r="K45" s="99"/>
      <c r="M45" s="82" t="s">
        <v>149</v>
      </c>
      <c r="N45" s="69">
        <v>3000</v>
      </c>
      <c r="O45" s="69">
        <f>N45/30*14</f>
        <v>1400</v>
      </c>
    </row>
    <row r="46" spans="1:19" ht="15.75" customHeight="1"/>
    <row r="47" spans="1:19" ht="15.75" customHeight="1">
      <c r="M47" s="88" t="s">
        <v>150</v>
      </c>
      <c r="N47" s="58" t="s">
        <v>151</v>
      </c>
      <c r="O47" s="58"/>
      <c r="P47" s="58" t="s">
        <v>152</v>
      </c>
    </row>
    <row r="48" spans="1:19" ht="15.75" customHeight="1">
      <c r="M48" s="110">
        <f>N42+N43+O45</f>
        <v>24733</v>
      </c>
      <c r="N48" s="58">
        <f>N42+N45</f>
        <v>53000</v>
      </c>
      <c r="O48" s="58"/>
      <c r="P48" s="58">
        <f>(M48+N48)/12</f>
        <v>6477.75</v>
      </c>
    </row>
    <row r="49" spans="1:19" ht="15.75" customHeight="1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</row>
    <row r="50" spans="1:19" ht="15.75" customHeight="1">
      <c r="A50" s="100" t="s">
        <v>153</v>
      </c>
      <c r="B50" s="92"/>
      <c r="C50" s="92"/>
      <c r="D50" s="92"/>
      <c r="E50" s="92"/>
      <c r="F50" s="92"/>
      <c r="G50" s="92"/>
      <c r="H50" s="92"/>
      <c r="I50" s="92"/>
      <c r="J50" s="92"/>
      <c r="K50" s="93"/>
      <c r="M50" s="2" t="s">
        <v>154</v>
      </c>
      <c r="N50" s="69">
        <v>120.1</v>
      </c>
    </row>
    <row r="51" spans="1:19" ht="15.75" customHeight="1">
      <c r="A51" s="77" t="s">
        <v>155</v>
      </c>
      <c r="B51" s="95"/>
      <c r="C51" s="95"/>
      <c r="D51" s="95"/>
      <c r="E51" s="95"/>
      <c r="F51" s="95"/>
      <c r="G51" s="95"/>
      <c r="H51" s="95"/>
      <c r="I51" s="95"/>
      <c r="J51" s="95"/>
      <c r="K51" s="96"/>
      <c r="N51" s="111" t="s">
        <v>156</v>
      </c>
      <c r="O51" s="111" t="s">
        <v>157</v>
      </c>
      <c r="P51" s="111" t="s">
        <v>158</v>
      </c>
      <c r="Q51" s="111" t="s">
        <v>159</v>
      </c>
    </row>
    <row r="52" spans="1:19" ht="15.75" customHeight="1">
      <c r="A52" s="77" t="s">
        <v>160</v>
      </c>
      <c r="B52" s="95"/>
      <c r="C52" s="95"/>
      <c r="D52" s="95"/>
      <c r="E52" s="95"/>
      <c r="F52" s="95"/>
      <c r="G52" s="95"/>
      <c r="H52" s="95"/>
      <c r="I52" s="95"/>
      <c r="J52" s="95"/>
      <c r="K52" s="96"/>
      <c r="M52" s="111" t="s">
        <v>161</v>
      </c>
      <c r="N52" s="112">
        <f>N50*200</f>
        <v>24020</v>
      </c>
      <c r="O52" s="112">
        <v>530</v>
      </c>
      <c r="P52" s="112"/>
      <c r="Q52" s="112">
        <f>N52+O52</f>
        <v>24550</v>
      </c>
    </row>
    <row r="53" spans="1:19" ht="15.75" customHeight="1">
      <c r="A53" s="77" t="s">
        <v>162</v>
      </c>
      <c r="B53" s="95"/>
      <c r="C53" s="95"/>
      <c r="D53" s="95"/>
      <c r="E53" s="95"/>
      <c r="F53" s="95"/>
      <c r="G53" s="95"/>
      <c r="H53" s="95"/>
      <c r="I53" s="95"/>
      <c r="J53" s="95"/>
      <c r="K53" s="96"/>
      <c r="M53" s="111" t="s">
        <v>163</v>
      </c>
      <c r="N53" s="112">
        <f>N50*208</f>
        <v>24980.799999999999</v>
      </c>
      <c r="O53" s="112">
        <v>530</v>
      </c>
      <c r="P53" s="112">
        <f>$N$50*32*2</f>
        <v>7686.4</v>
      </c>
      <c r="Q53" s="112">
        <f>N53+O53+P53</f>
        <v>33197.199999999997</v>
      </c>
    </row>
    <row r="54" spans="1:19" ht="15.75" customHeight="1">
      <c r="A54" s="85" t="s">
        <v>164</v>
      </c>
      <c r="B54" s="98"/>
      <c r="C54" s="98"/>
      <c r="D54" s="98"/>
      <c r="E54" s="98"/>
      <c r="F54" s="98"/>
      <c r="G54" s="98"/>
      <c r="H54" s="98"/>
      <c r="I54" s="98"/>
      <c r="J54" s="98"/>
      <c r="K54" s="99"/>
      <c r="M54" s="111" t="s">
        <v>165</v>
      </c>
      <c r="N54" s="112">
        <f>N50*192</f>
        <v>23059.199999999997</v>
      </c>
      <c r="O54" s="112">
        <v>530</v>
      </c>
      <c r="P54" s="112"/>
      <c r="Q54" s="112">
        <f>N54+O54</f>
        <v>23589.199999999997</v>
      </c>
    </row>
    <row r="55" spans="1:19" ht="15.75" customHeight="1">
      <c r="M55" s="111" t="s">
        <v>166</v>
      </c>
      <c r="N55" s="112">
        <f t="shared" ref="N55:N59" si="1">$N$50*200</f>
        <v>24020</v>
      </c>
      <c r="O55" s="112">
        <v>530</v>
      </c>
      <c r="P55" s="112">
        <f>$N$50*32*2</f>
        <v>7686.4</v>
      </c>
      <c r="Q55" s="112">
        <f>N55+O55+P55</f>
        <v>32236.400000000001</v>
      </c>
    </row>
    <row r="56" spans="1:19" ht="15.75" customHeight="1">
      <c r="M56" s="111" t="s">
        <v>167</v>
      </c>
      <c r="N56" s="112">
        <f t="shared" si="1"/>
        <v>24020</v>
      </c>
      <c r="O56" s="112">
        <v>530</v>
      </c>
      <c r="P56" s="112"/>
      <c r="Q56" s="112">
        <f>N56+O56</f>
        <v>24550</v>
      </c>
    </row>
    <row r="57" spans="1:19" ht="15.75" customHeight="1">
      <c r="M57" s="111" t="s">
        <v>168</v>
      </c>
      <c r="N57" s="112">
        <f t="shared" si="1"/>
        <v>24020</v>
      </c>
      <c r="O57" s="112">
        <v>530</v>
      </c>
      <c r="P57" s="112">
        <f>$N$50*32*2</f>
        <v>7686.4</v>
      </c>
      <c r="Q57" s="112">
        <f>N57+O57+P57</f>
        <v>32236.400000000001</v>
      </c>
    </row>
    <row r="58" spans="1:19" ht="15.75" customHeight="1">
      <c r="M58" s="111" t="s">
        <v>169</v>
      </c>
      <c r="N58" s="112">
        <f t="shared" si="1"/>
        <v>24020</v>
      </c>
      <c r="O58" s="112">
        <v>530</v>
      </c>
      <c r="P58" s="112"/>
      <c r="Q58" s="112">
        <f>N58+O58</f>
        <v>24550</v>
      </c>
    </row>
    <row r="59" spans="1:19" ht="15.75" customHeight="1">
      <c r="M59" s="111" t="s">
        <v>170</v>
      </c>
      <c r="N59" s="112">
        <f t="shared" si="1"/>
        <v>24020</v>
      </c>
      <c r="O59" s="112">
        <v>530</v>
      </c>
      <c r="P59" s="112">
        <f>$N$50*32*2</f>
        <v>7686.4</v>
      </c>
      <c r="Q59" s="112">
        <f>N59+O59+P59</f>
        <v>32236.400000000001</v>
      </c>
    </row>
    <row r="60" spans="1:19" ht="15.75" customHeight="1"/>
    <row r="61" spans="1:19" ht="15.75" customHeight="1">
      <c r="M61" s="113" t="s">
        <v>171</v>
      </c>
      <c r="N61" s="69">
        <f>(Q52+Q53)/12</f>
        <v>4812.2666666666664</v>
      </c>
    </row>
    <row r="62" spans="1:19" ht="15.75" customHeight="1">
      <c r="M62" s="113" t="s">
        <v>172</v>
      </c>
      <c r="N62" s="69">
        <f>(Q54+Q55+Q56+Q57+Q58+Q59)/12</f>
        <v>14116.533333333333</v>
      </c>
    </row>
    <row r="63" spans="1:19" ht="15.75" customHeight="1">
      <c r="A63" s="90"/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</row>
    <row r="64" spans="1:19" ht="15.75" customHeight="1">
      <c r="A64" s="100" t="s">
        <v>173</v>
      </c>
      <c r="B64" s="92"/>
      <c r="C64" s="92"/>
      <c r="D64" s="92"/>
      <c r="E64" s="92"/>
      <c r="F64" s="92"/>
      <c r="G64" s="92"/>
      <c r="H64" s="92"/>
      <c r="I64" s="92"/>
      <c r="J64" s="92"/>
      <c r="K64" s="93"/>
      <c r="M64" s="2"/>
    </row>
    <row r="65" spans="1:19" ht="15.75" customHeight="1">
      <c r="A65" s="77" t="s">
        <v>174</v>
      </c>
      <c r="B65" s="95"/>
      <c r="C65" s="95"/>
      <c r="D65" s="95"/>
      <c r="E65" s="95"/>
      <c r="F65" s="95"/>
      <c r="G65" s="95"/>
      <c r="H65" s="95"/>
      <c r="I65" s="95"/>
      <c r="J65" s="95"/>
      <c r="K65" s="96"/>
      <c r="M65" s="2" t="s">
        <v>119</v>
      </c>
      <c r="N65" s="2">
        <f>30000/30</f>
        <v>1000</v>
      </c>
    </row>
    <row r="66" spans="1:19" ht="15.75" customHeight="1">
      <c r="A66" s="77" t="s">
        <v>175</v>
      </c>
      <c r="B66" s="95"/>
      <c r="C66" s="95"/>
      <c r="D66" s="95"/>
      <c r="E66" s="95"/>
      <c r="F66" s="95"/>
      <c r="G66" s="95"/>
      <c r="H66" s="95"/>
      <c r="I66" s="95"/>
      <c r="J66" s="95"/>
      <c r="K66" s="96"/>
      <c r="M66" s="2" t="s">
        <v>176</v>
      </c>
    </row>
    <row r="67" spans="1:19" ht="15.75" customHeight="1">
      <c r="A67" s="77" t="s">
        <v>177</v>
      </c>
      <c r="B67" s="95"/>
      <c r="C67" s="95"/>
      <c r="D67" s="95"/>
      <c r="E67" s="95"/>
      <c r="F67" s="95"/>
      <c r="G67" s="95"/>
      <c r="H67" s="95"/>
      <c r="I67" s="95"/>
      <c r="J67" s="95"/>
      <c r="K67" s="96"/>
      <c r="M67" s="69">
        <f>30000*6.07%</f>
        <v>1821.0000000000002</v>
      </c>
    </row>
    <row r="68" spans="1:19" ht="15.75" customHeight="1">
      <c r="A68" s="85" t="s">
        <v>178</v>
      </c>
      <c r="B68" s="98"/>
      <c r="C68" s="98"/>
      <c r="D68" s="98"/>
      <c r="E68" s="98"/>
      <c r="F68" s="98"/>
      <c r="G68" s="98"/>
      <c r="H68" s="98"/>
      <c r="I68" s="98"/>
      <c r="J68" s="98"/>
      <c r="K68" s="99"/>
    </row>
    <row r="69" spans="1:19" ht="15.75" customHeight="1"/>
    <row r="70" spans="1:19" ht="15.75" customHeight="1">
      <c r="B70" s="2" t="s">
        <v>179</v>
      </c>
      <c r="C70" s="2" t="s">
        <v>180</v>
      </c>
      <c r="D70" s="2" t="s">
        <v>161</v>
      </c>
      <c r="E70" s="2" t="s">
        <v>181</v>
      </c>
      <c r="F70" s="2" t="s">
        <v>182</v>
      </c>
      <c r="G70" s="2" t="s">
        <v>183</v>
      </c>
      <c r="H70" s="2" t="s">
        <v>167</v>
      </c>
      <c r="I70" s="2" t="s">
        <v>168</v>
      </c>
      <c r="J70" s="2" t="s">
        <v>169</v>
      </c>
      <c r="K70" s="2" t="s">
        <v>170</v>
      </c>
      <c r="L70" s="2" t="s">
        <v>184</v>
      </c>
      <c r="N70" s="2" t="s">
        <v>185</v>
      </c>
      <c r="O70" s="2" t="s">
        <v>186</v>
      </c>
      <c r="Q70" s="2" t="s">
        <v>119</v>
      </c>
    </row>
    <row r="71" spans="1:19" ht="15.75" customHeight="1">
      <c r="A71" s="114" t="s">
        <v>187</v>
      </c>
      <c r="B71" s="112">
        <f>30000-N65</f>
        <v>29000</v>
      </c>
      <c r="C71" s="112">
        <v>30000</v>
      </c>
      <c r="D71" s="112">
        <v>30000</v>
      </c>
      <c r="E71" s="112">
        <v>30000</v>
      </c>
      <c r="F71" s="112">
        <v>30000</v>
      </c>
      <c r="G71" s="112">
        <f t="shared" ref="G71:L71" si="2">30000+$M$67</f>
        <v>31821</v>
      </c>
      <c r="H71" s="112">
        <f t="shared" si="2"/>
        <v>31821</v>
      </c>
      <c r="I71" s="112">
        <f t="shared" si="2"/>
        <v>31821</v>
      </c>
      <c r="J71" s="112">
        <f t="shared" si="2"/>
        <v>31821</v>
      </c>
      <c r="K71" s="112">
        <f t="shared" si="2"/>
        <v>31821</v>
      </c>
      <c r="L71" s="112">
        <f t="shared" si="2"/>
        <v>31821</v>
      </c>
      <c r="N71" s="112">
        <f t="shared" ref="N71:N73" si="3">L71</f>
        <v>31821</v>
      </c>
      <c r="O71" s="69">
        <f>1.67*10</f>
        <v>16.7</v>
      </c>
      <c r="Q71" s="69">
        <f>+N71/30</f>
        <v>1060.7</v>
      </c>
    </row>
    <row r="72" spans="1:19" ht="15.75" customHeight="1">
      <c r="A72" s="114" t="s">
        <v>188</v>
      </c>
      <c r="B72" s="112">
        <v>5000</v>
      </c>
      <c r="C72" s="112">
        <v>5000</v>
      </c>
      <c r="D72" s="112">
        <v>5000</v>
      </c>
      <c r="E72" s="112">
        <v>5000</v>
      </c>
      <c r="F72" s="112">
        <v>5000</v>
      </c>
      <c r="G72" s="112">
        <v>5000</v>
      </c>
      <c r="H72" s="112">
        <v>5000</v>
      </c>
      <c r="I72" s="112">
        <v>5000</v>
      </c>
      <c r="J72" s="112">
        <v>5000</v>
      </c>
      <c r="K72" s="112">
        <v>5000</v>
      </c>
      <c r="L72" s="112">
        <v>5000</v>
      </c>
      <c r="N72" s="112">
        <f t="shared" si="3"/>
        <v>5000</v>
      </c>
      <c r="O72" s="70">
        <f>1.67*29/30</f>
        <v>1.6143333333333334</v>
      </c>
      <c r="Q72" s="2" t="s">
        <v>189</v>
      </c>
    </row>
    <row r="73" spans="1:19" ht="15.75" customHeight="1">
      <c r="A73" s="114" t="s">
        <v>190</v>
      </c>
      <c r="B73" s="112">
        <v>2000</v>
      </c>
      <c r="C73" s="112">
        <v>2000</v>
      </c>
      <c r="D73" s="112">
        <v>2000</v>
      </c>
      <c r="E73" s="112">
        <v>2000</v>
      </c>
      <c r="F73" s="112">
        <v>2000</v>
      </c>
      <c r="G73" s="112">
        <v>2000</v>
      </c>
      <c r="H73" s="112">
        <v>2000</v>
      </c>
      <c r="I73" s="112">
        <v>2000</v>
      </c>
      <c r="J73" s="112">
        <v>2000</v>
      </c>
      <c r="K73" s="112">
        <v>2000</v>
      </c>
      <c r="L73" s="112">
        <v>2000</v>
      </c>
      <c r="N73" s="112">
        <f t="shared" si="3"/>
        <v>2000</v>
      </c>
      <c r="O73" s="115">
        <f>O71+O72</f>
        <v>18.314333333333334</v>
      </c>
      <c r="P73" s="2" t="s">
        <v>191</v>
      </c>
      <c r="Q73" s="70">
        <f>(B72+C72+C74+D72+E72+F72+G72+G74+H72+I72+J72+K72)/12/30</f>
        <v>194.44444444444443</v>
      </c>
    </row>
    <row r="74" spans="1:19" ht="15.75" customHeight="1">
      <c r="A74" s="116" t="s">
        <v>192</v>
      </c>
      <c r="B74" s="117"/>
      <c r="C74" s="117">
        <v>10000</v>
      </c>
      <c r="D74" s="117"/>
      <c r="E74" s="117"/>
      <c r="F74" s="117"/>
      <c r="G74" s="117">
        <v>10000</v>
      </c>
      <c r="H74" s="117"/>
      <c r="I74" s="117"/>
      <c r="J74" s="117"/>
      <c r="K74" s="117"/>
      <c r="L74" s="117"/>
      <c r="N74" s="117"/>
    </row>
    <row r="75" spans="1:19" ht="15.75" customHeight="1">
      <c r="A75" s="118" t="s">
        <v>193</v>
      </c>
      <c r="B75" s="119">
        <f t="shared" ref="B75:L75" si="4">SUM(B71:B74)</f>
        <v>36000</v>
      </c>
      <c r="C75" s="119">
        <f t="shared" si="4"/>
        <v>47000</v>
      </c>
      <c r="D75" s="119">
        <f t="shared" si="4"/>
        <v>37000</v>
      </c>
      <c r="E75" s="119">
        <f t="shared" si="4"/>
        <v>37000</v>
      </c>
      <c r="F75" s="119">
        <f t="shared" si="4"/>
        <v>37000</v>
      </c>
      <c r="G75" s="119">
        <f t="shared" si="4"/>
        <v>48821</v>
      </c>
      <c r="H75" s="119">
        <f t="shared" si="4"/>
        <v>38821</v>
      </c>
      <c r="I75" s="119">
        <f t="shared" si="4"/>
        <v>38821</v>
      </c>
      <c r="J75" s="119">
        <f t="shared" si="4"/>
        <v>38821</v>
      </c>
      <c r="K75" s="119">
        <f t="shared" si="4"/>
        <v>38821</v>
      </c>
      <c r="L75" s="119">
        <f t="shared" si="4"/>
        <v>38821</v>
      </c>
      <c r="N75" s="119">
        <f>SUM(N71:N73)</f>
        <v>38821</v>
      </c>
      <c r="Q75" s="70">
        <f>Q71+Q73</f>
        <v>1255.1444444444444</v>
      </c>
    </row>
    <row r="76" spans="1:19" ht="15.75" customHeight="1">
      <c r="B76" s="69">
        <f>B71+B72</f>
        <v>34000</v>
      </c>
      <c r="C76" s="2">
        <f>C71+C72+C74</f>
        <v>45000</v>
      </c>
      <c r="D76" s="2">
        <f t="shared" ref="D76:F76" si="5">D71+D72</f>
        <v>35000</v>
      </c>
      <c r="E76" s="2">
        <f t="shared" si="5"/>
        <v>35000</v>
      </c>
      <c r="F76" s="2">
        <f t="shared" si="5"/>
        <v>35000</v>
      </c>
      <c r="G76" s="2">
        <f>G71+G72+G74</f>
        <v>46821</v>
      </c>
      <c r="H76" s="2">
        <f t="shared" ref="H76:L76" si="6">H71+H72</f>
        <v>36821</v>
      </c>
      <c r="I76" s="2">
        <f t="shared" si="6"/>
        <v>36821</v>
      </c>
      <c r="J76" s="2">
        <f t="shared" si="6"/>
        <v>36821</v>
      </c>
      <c r="K76" s="2">
        <f t="shared" si="6"/>
        <v>36821</v>
      </c>
      <c r="L76" s="2">
        <f t="shared" si="6"/>
        <v>36821</v>
      </c>
      <c r="P76" s="69" t="s">
        <v>194</v>
      </c>
      <c r="Q76" s="69">
        <f>Q75*O73</f>
        <v>22987.133737037038</v>
      </c>
    </row>
    <row r="77" spans="1:19" ht="15.75" customHeight="1">
      <c r="A77" s="120" t="s">
        <v>195</v>
      </c>
      <c r="B77" s="69">
        <f>(B76+C76+D76+E76)/12</f>
        <v>12416.666666666666</v>
      </c>
      <c r="P77" s="69" t="s">
        <v>113</v>
      </c>
      <c r="Q77" s="69">
        <f>Q76*0.196</f>
        <v>4505.4782124592593</v>
      </c>
    </row>
    <row r="78" spans="1:19" ht="15.75" customHeight="1">
      <c r="A78" s="121" t="s">
        <v>196</v>
      </c>
      <c r="B78" s="69">
        <f>(F76+G76+H76+I76+J76+K76)/12</f>
        <v>19092.083333333332</v>
      </c>
    </row>
    <row r="79" spans="1:19" ht="15.75" customHeight="1"/>
    <row r="80" spans="1:19" ht="15.75" customHeight="1">
      <c r="A80" s="90"/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</row>
    <row r="81" spans="1:18" ht="15.75" customHeight="1">
      <c r="A81" s="100" t="s">
        <v>197</v>
      </c>
      <c r="B81" s="92"/>
      <c r="C81" s="92"/>
      <c r="D81" s="92"/>
      <c r="E81" s="92"/>
      <c r="F81" s="92"/>
      <c r="G81" s="92"/>
      <c r="H81" s="92"/>
      <c r="I81" s="92"/>
      <c r="J81" s="92"/>
      <c r="K81" s="93"/>
      <c r="M81" s="68" t="s">
        <v>198</v>
      </c>
      <c r="N81" s="69">
        <f>200*95.4</f>
        <v>19080</v>
      </c>
      <c r="P81" s="2" t="s">
        <v>199</v>
      </c>
      <c r="Q81" s="122">
        <f>(N81/30)+Q85</f>
        <v>652.19444444444446</v>
      </c>
      <c r="R81" s="122">
        <f>Q81*0.196</f>
        <v>127.83011111111112</v>
      </c>
    </row>
    <row r="82" spans="1:18" ht="15.75" customHeight="1">
      <c r="A82" s="77" t="s">
        <v>200</v>
      </c>
      <c r="B82" s="95"/>
      <c r="C82" s="95"/>
      <c r="D82" s="95"/>
      <c r="E82" s="95"/>
      <c r="F82" s="95"/>
      <c r="G82" s="95"/>
      <c r="H82" s="95"/>
      <c r="I82" s="95"/>
      <c r="J82" s="95"/>
      <c r="K82" s="96"/>
      <c r="M82" s="76" t="s">
        <v>149</v>
      </c>
      <c r="N82" s="69">
        <v>530</v>
      </c>
      <c r="P82" s="2" t="s">
        <v>201</v>
      </c>
      <c r="Q82" s="122">
        <f>Q81-R81</f>
        <v>524.36433333333332</v>
      </c>
    </row>
    <row r="83" spans="1:18" ht="15.75" customHeight="1">
      <c r="A83" s="77" t="s">
        <v>202</v>
      </c>
      <c r="B83" s="95"/>
      <c r="C83" s="95"/>
      <c r="D83" s="95"/>
      <c r="E83" s="95"/>
      <c r="F83" s="95"/>
      <c r="G83" s="95"/>
      <c r="H83" s="95"/>
      <c r="I83" s="95"/>
      <c r="J83" s="95"/>
      <c r="K83" s="96"/>
      <c r="M83" s="76" t="s">
        <v>203</v>
      </c>
      <c r="N83" s="122">
        <f t="shared" ref="N83:N84" si="7">Q81*21</f>
        <v>13696.083333333334</v>
      </c>
    </row>
    <row r="84" spans="1:18" ht="15.75" customHeight="1">
      <c r="A84" s="85" t="s">
        <v>204</v>
      </c>
      <c r="B84" s="98"/>
      <c r="C84" s="98"/>
      <c r="D84" s="98"/>
      <c r="E84" s="98"/>
      <c r="F84" s="98"/>
      <c r="G84" s="98"/>
      <c r="H84" s="98"/>
      <c r="I84" s="98"/>
      <c r="J84" s="98"/>
      <c r="K84" s="99"/>
      <c r="M84" s="76" t="s">
        <v>205</v>
      </c>
      <c r="N84" s="122">
        <f t="shared" si="7"/>
        <v>11011.651</v>
      </c>
      <c r="P84" s="2" t="s">
        <v>206</v>
      </c>
      <c r="Q84" s="69">
        <f>530*11</f>
        <v>5830</v>
      </c>
      <c r="R84" s="69">
        <f>530*12</f>
        <v>6360</v>
      </c>
    </row>
    <row r="85" spans="1:18" ht="15.75" customHeight="1">
      <c r="C85" s="2" t="s">
        <v>207</v>
      </c>
      <c r="G85" s="64"/>
      <c r="H85" s="64"/>
      <c r="I85" s="64"/>
      <c r="M85" s="76" t="s">
        <v>208</v>
      </c>
      <c r="N85" s="122">
        <f>(N81+N82)/12</f>
        <v>1634.1666666666667</v>
      </c>
      <c r="Q85" s="122">
        <f t="shared" ref="Q85:R85" si="8">Q84/30/12</f>
        <v>16.194444444444446</v>
      </c>
      <c r="R85" s="122">
        <f t="shared" si="8"/>
        <v>17.666666666666668</v>
      </c>
    </row>
    <row r="86" spans="1:18" ht="15.75" customHeight="1">
      <c r="D86" s="4">
        <v>40180</v>
      </c>
      <c r="E86" s="69">
        <v>1</v>
      </c>
      <c r="M86" s="82" t="s">
        <v>209</v>
      </c>
      <c r="N86" s="122">
        <f>N95</f>
        <v>138561.85061999998</v>
      </c>
    </row>
    <row r="87" spans="1:18" ht="15.75" customHeight="1">
      <c r="D87" s="4">
        <v>40545</v>
      </c>
      <c r="E87" s="69">
        <v>1</v>
      </c>
      <c r="G87" s="123" t="s">
        <v>76</v>
      </c>
      <c r="H87" s="124"/>
      <c r="I87" s="125">
        <f>N81</f>
        <v>19080</v>
      </c>
    </row>
    <row r="88" spans="1:18" ht="15.75" customHeight="1">
      <c r="D88" s="4">
        <v>40546</v>
      </c>
      <c r="E88" s="69">
        <v>2</v>
      </c>
      <c r="G88" s="126" t="s">
        <v>210</v>
      </c>
      <c r="H88" s="127"/>
      <c r="I88" s="128">
        <f>N85</f>
        <v>1634.1666666666667</v>
      </c>
      <c r="M88" s="123" t="s">
        <v>211</v>
      </c>
      <c r="N88" s="72"/>
      <c r="P88" s="2" t="s">
        <v>97</v>
      </c>
    </row>
    <row r="89" spans="1:18" ht="15.75" customHeight="1">
      <c r="D89" s="4">
        <v>40910</v>
      </c>
      <c r="E89" s="69">
        <v>2</v>
      </c>
      <c r="G89" s="126" t="s">
        <v>212</v>
      </c>
      <c r="H89" s="129">
        <v>20</v>
      </c>
      <c r="I89" s="128">
        <f t="shared" ref="I89:I90" si="9">K89*20</f>
        <v>13073.333333333332</v>
      </c>
      <c r="J89" s="2" t="s">
        <v>213</v>
      </c>
      <c r="K89" s="122">
        <f>(N81/30)+R85</f>
        <v>653.66666666666663</v>
      </c>
      <c r="L89" s="122">
        <f>K89*0.196</f>
        <v>128.11866666666666</v>
      </c>
      <c r="M89" s="126" t="s">
        <v>214</v>
      </c>
      <c r="N89" s="44">
        <f>N81</f>
        <v>19080</v>
      </c>
    </row>
    <row r="90" spans="1:18" ht="15.75" customHeight="1">
      <c r="D90" s="4">
        <v>40911</v>
      </c>
      <c r="E90" s="69">
        <v>3</v>
      </c>
      <c r="G90" s="126" t="s">
        <v>215</v>
      </c>
      <c r="H90" s="129">
        <v>20</v>
      </c>
      <c r="I90" s="128">
        <f t="shared" si="9"/>
        <v>10510.96</v>
      </c>
      <c r="J90" s="2" t="s">
        <v>216</v>
      </c>
      <c r="K90" s="122">
        <f>K89-L89</f>
        <v>525.548</v>
      </c>
      <c r="M90" s="126" t="s">
        <v>217</v>
      </c>
      <c r="N90" s="44">
        <f>N89/12</f>
        <v>1590</v>
      </c>
      <c r="P90" s="122">
        <f>N81+N82+N83+N84</f>
        <v>44317.734333333334</v>
      </c>
    </row>
    <row r="91" spans="1:18" ht="15.75" customHeight="1">
      <c r="D91" s="4">
        <v>41276</v>
      </c>
      <c r="E91" s="69">
        <v>3</v>
      </c>
      <c r="G91" s="126" t="s">
        <v>218</v>
      </c>
      <c r="H91" s="129">
        <v>21</v>
      </c>
      <c r="I91" s="128">
        <f t="shared" ref="I91:I92" si="10">N83</f>
        <v>13696.083333333334</v>
      </c>
      <c r="M91" s="126" t="s">
        <v>219</v>
      </c>
      <c r="N91" s="81">
        <f>Q85*30</f>
        <v>485.83333333333337</v>
      </c>
      <c r="P91" s="69">
        <f>4519*7</f>
        <v>31633</v>
      </c>
    </row>
    <row r="92" spans="1:18" ht="15.75" customHeight="1">
      <c r="D92" s="4">
        <v>41277</v>
      </c>
      <c r="E92" s="69">
        <v>4</v>
      </c>
      <c r="G92" s="126" t="s">
        <v>220</v>
      </c>
      <c r="H92" s="129">
        <v>21</v>
      </c>
      <c r="I92" s="128">
        <f t="shared" si="10"/>
        <v>11011.651</v>
      </c>
      <c r="M92" s="126" t="s">
        <v>221</v>
      </c>
      <c r="N92" s="81">
        <f>(N89/30)*1.67</f>
        <v>1062.1199999999999</v>
      </c>
      <c r="P92" s="122">
        <f>P90-P91</f>
        <v>12684.734333333334</v>
      </c>
      <c r="Q92" s="122">
        <f>P92*0.1</f>
        <v>1268.4734333333336</v>
      </c>
    </row>
    <row r="93" spans="1:18" ht="15.75" customHeight="1">
      <c r="D93" s="4">
        <v>41641</v>
      </c>
      <c r="E93" s="69">
        <v>4</v>
      </c>
      <c r="G93" s="126" t="s">
        <v>209</v>
      </c>
      <c r="H93" s="130"/>
      <c r="I93" s="128">
        <f>N86</f>
        <v>138561.85061999998</v>
      </c>
      <c r="M93" s="126" t="s">
        <v>222</v>
      </c>
      <c r="N93" s="81">
        <f>Q82*1.67</f>
        <v>875.68843666666658</v>
      </c>
      <c r="P93" s="122"/>
    </row>
    <row r="94" spans="1:18" ht="15.75" customHeight="1">
      <c r="D94" s="4">
        <v>41642</v>
      </c>
      <c r="E94" s="69">
        <v>5</v>
      </c>
      <c r="G94" s="131" t="s">
        <v>223</v>
      </c>
      <c r="H94" s="132"/>
      <c r="I94" s="133">
        <f>SUM(I87:I93)</f>
        <v>207568.04495333333</v>
      </c>
      <c r="M94" s="126" t="s">
        <v>223</v>
      </c>
      <c r="N94" s="81">
        <f>N89+N90+N91+N92+N93</f>
        <v>23093.641769999998</v>
      </c>
      <c r="P94" s="69">
        <f>(N81+N82)*0.196</f>
        <v>3843.56</v>
      </c>
      <c r="Q94" s="69">
        <f>P94*0.1</f>
        <v>384.35599999999999</v>
      </c>
    </row>
    <row r="95" spans="1:18" ht="15.75" customHeight="1">
      <c r="D95" s="4">
        <v>42006</v>
      </c>
      <c r="E95" s="69">
        <v>5</v>
      </c>
      <c r="G95" s="126" t="s">
        <v>224</v>
      </c>
      <c r="H95" s="134"/>
      <c r="I95" s="128">
        <f>(I87+I88)*0.19</f>
        <v>3935.6916666666671</v>
      </c>
      <c r="M95" s="135" t="s">
        <v>225</v>
      </c>
      <c r="N95" s="62">
        <f>N94*6</f>
        <v>138561.85061999998</v>
      </c>
      <c r="Q95" s="122">
        <f>Q92-Q94</f>
        <v>884.11743333333357</v>
      </c>
    </row>
    <row r="96" spans="1:18" ht="15.75" customHeight="1">
      <c r="D96" s="4">
        <v>42007</v>
      </c>
      <c r="E96" s="69">
        <v>6</v>
      </c>
      <c r="G96" s="126" t="s">
        <v>97</v>
      </c>
      <c r="H96" s="134"/>
      <c r="I96" s="128">
        <f>Q95</f>
        <v>884.11743333333357</v>
      </c>
    </row>
    <row r="97" spans="1:19" ht="15.75" customHeight="1">
      <c r="G97" s="136" t="s">
        <v>226</v>
      </c>
      <c r="H97" s="137"/>
      <c r="I97" s="138">
        <f>+I94-I95-I96</f>
        <v>202748.23585333332</v>
      </c>
    </row>
    <row r="98" spans="1:19" ht="15.75" customHeight="1"/>
    <row r="99" spans="1:19" ht="15.75" customHeight="1">
      <c r="A99" s="90"/>
      <c r="B99" s="90"/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</row>
    <row r="100" spans="1:19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9" ht="15.75" customHeight="1">
      <c r="A101" s="139" t="s">
        <v>197</v>
      </c>
      <c r="B101" s="63"/>
      <c r="C101" s="63"/>
      <c r="D101" s="63"/>
      <c r="E101" s="63"/>
      <c r="F101" s="63"/>
      <c r="G101" s="63"/>
      <c r="H101" s="63"/>
      <c r="I101" s="140"/>
      <c r="J101" s="64"/>
      <c r="K101" s="64"/>
    </row>
    <row r="102" spans="1:19" ht="15.75" customHeight="1">
      <c r="A102" s="141" t="s">
        <v>200</v>
      </c>
      <c r="B102" s="64"/>
      <c r="C102" s="64"/>
      <c r="D102" s="64"/>
      <c r="E102" s="64"/>
      <c r="F102" s="64"/>
      <c r="G102" s="64"/>
      <c r="H102" s="64"/>
      <c r="I102" s="142"/>
      <c r="J102" s="64"/>
      <c r="K102" s="64"/>
    </row>
    <row r="103" spans="1:19" ht="15.75" customHeight="1">
      <c r="A103" s="141" t="s">
        <v>227</v>
      </c>
      <c r="B103" s="64"/>
      <c r="C103" s="64"/>
      <c r="D103" s="64"/>
      <c r="E103" s="64"/>
      <c r="F103" s="64"/>
      <c r="G103" s="64"/>
      <c r="H103" s="64"/>
      <c r="I103" s="142"/>
      <c r="J103" s="64"/>
      <c r="K103" s="64"/>
    </row>
    <row r="104" spans="1:19" ht="15.75" customHeight="1">
      <c r="A104" s="141" t="s">
        <v>228</v>
      </c>
      <c r="B104" s="64"/>
      <c r="C104" s="64"/>
      <c r="D104" s="64"/>
      <c r="E104" s="64"/>
      <c r="F104" s="64"/>
      <c r="G104" s="64"/>
      <c r="H104" s="64"/>
      <c r="I104" s="142"/>
      <c r="J104" s="64"/>
      <c r="K104" s="64"/>
    </row>
    <row r="105" spans="1:19" ht="15.75" customHeight="1">
      <c r="A105" s="141" t="s">
        <v>229</v>
      </c>
      <c r="B105" s="64"/>
      <c r="C105" s="64"/>
      <c r="D105" s="64"/>
      <c r="E105" s="64"/>
      <c r="F105" s="64"/>
      <c r="G105" s="64"/>
      <c r="H105" s="64"/>
      <c r="I105" s="142"/>
      <c r="J105" s="64"/>
      <c r="K105" s="64"/>
    </row>
    <row r="106" spans="1:19" ht="15.75" customHeight="1">
      <c r="A106" s="143" t="s">
        <v>230</v>
      </c>
      <c r="B106" s="144"/>
      <c r="C106" s="144"/>
      <c r="D106" s="144"/>
      <c r="E106" s="144"/>
      <c r="F106" s="144"/>
      <c r="G106" s="144"/>
      <c r="H106" s="144"/>
      <c r="I106" s="145"/>
      <c r="J106" s="64"/>
      <c r="K106" s="64"/>
    </row>
    <row r="107" spans="1:19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9" ht="15.75" customHeight="1">
      <c r="A108" s="95"/>
      <c r="B108" s="95" t="s">
        <v>231</v>
      </c>
      <c r="C108" s="95" t="s">
        <v>232</v>
      </c>
      <c r="D108" s="95" t="s">
        <v>233</v>
      </c>
      <c r="E108" s="78" t="s">
        <v>234</v>
      </c>
      <c r="F108" s="2"/>
      <c r="G108" s="2" t="s">
        <v>144</v>
      </c>
      <c r="H108" s="122">
        <f>200*95.4</f>
        <v>19080</v>
      </c>
      <c r="I108" s="2">
        <v>95.4</v>
      </c>
      <c r="J108" s="2"/>
      <c r="K108" s="2"/>
    </row>
    <row r="109" spans="1:19" ht="15.75" customHeight="1">
      <c r="A109" s="146" t="s">
        <v>235</v>
      </c>
      <c r="B109" s="147">
        <f>H109</f>
        <v>20044.449000000001</v>
      </c>
      <c r="C109" s="147">
        <f>H109</f>
        <v>20044.449000000001</v>
      </c>
      <c r="D109" s="147">
        <f>H110</f>
        <v>22349.560635000002</v>
      </c>
      <c r="E109" s="147">
        <f>H110</f>
        <v>22349.560635000002</v>
      </c>
      <c r="F109" s="2"/>
      <c r="G109" s="2" t="s">
        <v>236</v>
      </c>
      <c r="H109" s="70">
        <f t="shared" ref="H109:H110" si="11">I109*200</f>
        <v>20044.449000000001</v>
      </c>
      <c r="I109" s="108">
        <f t="shared" ref="I109:I110" si="12">I108+J109</f>
        <v>100.222245</v>
      </c>
      <c r="J109" s="122">
        <f>95.49*5.05%</f>
        <v>4.8222449999999997</v>
      </c>
      <c r="K109" s="2"/>
    </row>
    <row r="110" spans="1:19" ht="15.75" customHeight="1">
      <c r="A110" s="146" t="s">
        <v>149</v>
      </c>
      <c r="B110" s="148">
        <v>530</v>
      </c>
      <c r="C110" s="95"/>
      <c r="D110" s="148">
        <v>530</v>
      </c>
      <c r="E110" s="148">
        <v>530</v>
      </c>
      <c r="G110" s="2" t="s">
        <v>237</v>
      </c>
      <c r="H110" s="70">
        <f t="shared" si="11"/>
        <v>22349.560635000002</v>
      </c>
      <c r="I110" s="108">
        <f t="shared" si="12"/>
        <v>111.747803175</v>
      </c>
      <c r="J110" s="122">
        <f>I109*11.5%</f>
        <v>11.525558175</v>
      </c>
    </row>
    <row r="111" spans="1:19" ht="15.75" customHeight="1">
      <c r="A111" s="146" t="s">
        <v>238</v>
      </c>
      <c r="B111" s="148">
        <v>5000</v>
      </c>
      <c r="C111" s="95"/>
      <c r="D111" s="95"/>
      <c r="E111" s="95"/>
    </row>
    <row r="112" spans="1:19" ht="15.75" customHeight="1">
      <c r="A112" s="78" t="s">
        <v>239</v>
      </c>
      <c r="B112" s="95"/>
      <c r="C112" s="95"/>
      <c r="D112" s="95"/>
      <c r="E112" s="148">
        <v>9000</v>
      </c>
    </row>
    <row r="113" spans="1:5" ht="15.75" customHeight="1">
      <c r="A113" s="95"/>
      <c r="B113" s="147">
        <f t="shared" ref="B113:E113" si="13">SUM(B109:B112)</f>
        <v>25574.449000000001</v>
      </c>
      <c r="C113" s="147">
        <f t="shared" si="13"/>
        <v>20044.449000000001</v>
      </c>
      <c r="D113" s="147">
        <f t="shared" si="13"/>
        <v>22879.560635000002</v>
      </c>
      <c r="E113" s="147">
        <f t="shared" si="13"/>
        <v>31879.560635000002</v>
      </c>
    </row>
    <row r="114" spans="1:5" ht="15.75" customHeight="1"/>
    <row r="115" spans="1:5" ht="15.75" customHeight="1"/>
    <row r="116" spans="1:5" ht="15.75" customHeight="1"/>
    <row r="117" spans="1:5" ht="15.75" customHeight="1"/>
    <row r="118" spans="1:5" ht="15.75" customHeight="1"/>
    <row r="119" spans="1:5" ht="15.75" customHeight="1"/>
    <row r="120" spans="1:5" ht="15.75" customHeight="1"/>
    <row r="121" spans="1:5" ht="15.75" customHeight="1"/>
    <row r="122" spans="1:5" ht="15.75" customHeight="1"/>
    <row r="123" spans="1:5" ht="15.75" customHeight="1"/>
    <row r="124" spans="1:5" ht="15.75" customHeight="1"/>
    <row r="125" spans="1:5" ht="15.75" customHeight="1"/>
    <row r="126" spans="1:5" ht="15.75" customHeight="1"/>
    <row r="127" spans="1:5" ht="15.75" customHeight="1"/>
    <row r="128" spans="1:5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Planillas</vt:lpstr>
      <vt:lpstr>Licencia</vt:lpstr>
      <vt:lpstr>IPD</vt:lpstr>
      <vt:lpstr>Pregunta Jornada y Prima</vt:lpstr>
      <vt:lpstr>Aguinaldo1mar</vt:lpstr>
      <vt:lpstr>Recibo</vt:lpstr>
      <vt:lpstr>Ejercicios varios resueltos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Gonzalo Fuentes Coiana</dc:creator>
  <cp:lastModifiedBy>Gonzalo Fuentes Coiana</cp:lastModifiedBy>
  <dcterms:created xsi:type="dcterms:W3CDTF">2021-02-05T16:51:09Z</dcterms:created>
  <dcterms:modified xsi:type="dcterms:W3CDTF">2022-03-08T22:21:01Z</dcterms:modified>
</cp:coreProperties>
</file>